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Assumptions" sheetId="1" r:id="rId4"/>
    <sheet name="Industry Averages (High Profit)" sheetId="2" r:id="rId5"/>
    <sheet name="Funding" sheetId="3" r:id="rId6"/>
    <sheet name="Start-up Investment" sheetId="4" r:id="rId7"/>
    <sheet name="Proforma P&amp;L Year 1" sheetId="5" r:id="rId8"/>
    <sheet name="Proforma P&amp;L Year 2" sheetId="6" r:id="rId9"/>
    <sheet name="Proforma P&amp;L Year 3" sheetId="7" r:id="rId10"/>
    <sheet name="Cash Flow Year 1" sheetId="8" r:id="rId11"/>
    <sheet name="Cash Flow Year 2" sheetId="9" r:id="rId12"/>
    <sheet name="Cash Flow Year 3" sheetId="10" r:id="rId13"/>
  </sheets>
</workbook>
</file>

<file path=xl/sharedStrings.xml><?xml version="1.0" encoding="utf-8"?>
<sst xmlns="http://schemas.openxmlformats.org/spreadsheetml/2006/main" uniqueCount="244">
  <si>
    <t>Bookstore Start-up Projections</t>
  </si>
  <si>
    <t>Fill in your project details in yellow highlighted areas</t>
  </si>
  <si>
    <t xml:space="preserve"> </t>
  </si>
  <si>
    <t>Store Hours</t>
  </si>
  <si>
    <t>10-7 Monday through Saturday</t>
  </si>
  <si>
    <t>11-6 Sunday</t>
  </si>
  <si>
    <t>Pre- &amp; Post-Shift (pre-shift meeting, post-shift clean-up)</t>
  </si>
  <si>
    <t>Total weekly bookseller payroll hours</t>
  </si>
  <si>
    <t>Payroll Projections</t>
  </si>
  <si>
    <t>Please add your state’s payroll taxes paid by employers</t>
  </si>
  <si>
    <t>Management</t>
  </si>
  <si>
    <t xml:space="preserve">Owner’s compensation, year 1 </t>
  </si>
  <si>
    <t>Booksellers</t>
  </si>
  <si>
    <t>Average hourly rate</t>
  </si>
  <si>
    <t>Annual payroll hours @ 1.5 people at all times x Average hourly rate</t>
  </si>
  <si>
    <t>Total Payroll Year 1</t>
  </si>
  <si>
    <t>Payroll after year 1 is based on industry average, staffing increases as sales increase</t>
  </si>
  <si>
    <t>Payroll Days per Year</t>
  </si>
  <si>
    <t>See bottom of program - adjust if you’ll be closed for holidays</t>
  </si>
  <si>
    <t>Space &amp; Occupancy</t>
  </si>
  <si>
    <t>Gross sf</t>
  </si>
  <si>
    <t>Square footage noted in rent, verified by on-site measurement by you</t>
  </si>
  <si>
    <t>% back room</t>
  </si>
  <si>
    <t>Back room sf</t>
  </si>
  <si>
    <t>Office, receiving, storage, rest rooms</t>
  </si>
  <si>
    <t>Selling Square Feet</t>
  </si>
  <si>
    <t>Abbreviated elsewhere ssf</t>
  </si>
  <si>
    <t>Annual Base Rent</t>
  </si>
  <si>
    <t>Monthly Base Rent</t>
  </si>
  <si>
    <t>Additional MonthlyFees</t>
  </si>
  <si>
    <t>Common Area Maintenance (CAM), promo fee, any extras to base rent</t>
  </si>
  <si>
    <t>Total Monthly Rent</t>
  </si>
  <si>
    <t>Annual Rent (all inclusive)</t>
  </si>
  <si>
    <t>Annual Rent/gross sf</t>
  </si>
  <si>
    <t>Sales Projections</t>
  </si>
  <si>
    <t xml:space="preserve">Use industry averages for both Inventory Turns &amp; Sales per ssf </t>
  </si>
  <si>
    <t>Inventory Turns</t>
  </si>
  <si>
    <t xml:space="preserve">Opening inventory at cost </t>
  </si>
  <si>
    <t>Retail value of inventory (@42% gross margin)</t>
  </si>
  <si>
    <t>Low</t>
  </si>
  <si>
    <t>Sales estimates based on 2 turns per year</t>
  </si>
  <si>
    <t>Middle</t>
  </si>
  <si>
    <t>Sales estimates based on 2.5 turns per year</t>
  </si>
  <si>
    <t>Industry Average</t>
  </si>
  <si>
    <t>Sales estimates based on 3 turns per year ABACUS23</t>
  </si>
  <si>
    <t>Sales per ssf</t>
  </si>
  <si>
    <t>$275-$400</t>
  </si>
  <si>
    <t>Industry Average (ABACUS Financial Survey of Independent Bookstores) for high profit bookstores</t>
  </si>
  <si>
    <t>Based on $275/ssf</t>
  </si>
  <si>
    <t>Based on $325/ssf</t>
  </si>
  <si>
    <t>Based on $332/ssf ABACUS23</t>
  </si>
  <si>
    <t>Best Practices</t>
  </si>
  <si>
    <t>Highly profitable stores can perform at $600 to $1,000/ssf</t>
  </si>
  <si>
    <t>COGS Projections</t>
  </si>
  <si>
    <t>Based on 18-20% non-book merchandise mix ABACUS23</t>
  </si>
  <si>
    <t>Slight improvement for better margins, improved buying</t>
  </si>
  <si>
    <t>High</t>
  </si>
  <si>
    <t>Start-up phase</t>
  </si>
  <si>
    <t>Marketing Expenses</t>
  </si>
  <si>
    <t>ABACUS23</t>
  </si>
  <si>
    <t>Aggressive marketing for start-up</t>
  </si>
  <si>
    <t>ABACUS23 Financial Survey of Independent Bookstores</t>
  </si>
  <si>
    <t xml:space="preserve">Produced annually by the </t>
  </si>
  <si>
    <t>American Booksellers Assoc.</t>
  </si>
  <si>
    <t xml:space="preserve"># Participating Stores: </t>
  </si>
  <si>
    <t>Higher Profit Stores</t>
  </si>
  <si>
    <t>Notes</t>
  </si>
  <si>
    <t># Stores</t>
  </si>
  <si>
    <t>%  of Participating Stores</t>
  </si>
  <si>
    <t>NET SALES</t>
  </si>
  <si>
    <t>Use Sales/ssf &amp; Inventory Turns for reasonable range</t>
  </si>
  <si>
    <t>New book sales</t>
  </si>
  <si>
    <t>Use &amp; bargain book sales</t>
  </si>
  <si>
    <t>Non-book sales</t>
  </si>
  <si>
    <t>Cost of Goods Sold (COGS)</t>
  </si>
  <si>
    <t>Use this or slightly higher number when you’re new</t>
  </si>
  <si>
    <t xml:space="preserve">GROSS PROFIT </t>
  </si>
  <si>
    <t>Subtract COGS from Net Sales</t>
  </si>
  <si>
    <t>OPERATING EXPENSES</t>
  </si>
  <si>
    <t>Owner’s compensation</t>
  </si>
  <si>
    <t>Wages &amp; salaries</t>
  </si>
  <si>
    <t>Estimate based on store hours &amp; pay rates</t>
  </si>
  <si>
    <t>Payroll taxes</t>
  </si>
  <si>
    <t>Employee benefits</t>
  </si>
  <si>
    <t>Payroll service</t>
  </si>
  <si>
    <t>Other payroll expense</t>
  </si>
  <si>
    <t>Total Compensation</t>
  </si>
  <si>
    <t>Rent</t>
  </si>
  <si>
    <t>Use local going rate for space</t>
  </si>
  <si>
    <t>Repairs &amp; maintenance</t>
  </si>
  <si>
    <t>Utilities</t>
  </si>
  <si>
    <t>Other occupancy costs</t>
  </si>
  <si>
    <t>Total Occupancy</t>
  </si>
  <si>
    <t>Other Operating Expenses</t>
  </si>
  <si>
    <t>Advertising &amp; promotions</t>
  </si>
  <si>
    <t>Use 2-3% for first 3 years to build business</t>
  </si>
  <si>
    <t>Telecommunications</t>
  </si>
  <si>
    <t>Professional services</t>
  </si>
  <si>
    <t>Accountant, Lawyer, Consulting services</t>
  </si>
  <si>
    <t>Office expenses</t>
  </si>
  <si>
    <t>Depreciation</t>
  </si>
  <si>
    <t>See IRS schedule</t>
  </si>
  <si>
    <t>Travel &amp; entertainment</t>
  </si>
  <si>
    <t>Estimate what you’ll need</t>
  </si>
  <si>
    <t>Business insurance</t>
  </si>
  <si>
    <t>Call local agent</t>
  </si>
  <si>
    <t>Interest expense</t>
  </si>
  <si>
    <t>Use loan estimate</t>
  </si>
  <si>
    <t>Credit card services</t>
  </si>
  <si>
    <t>Renogiate after 6 months w actual sales volume</t>
  </si>
  <si>
    <t>Dues &amp; subscriptions</t>
  </si>
  <si>
    <t>Freight out</t>
  </si>
  <si>
    <t>Misc. taxes</t>
  </si>
  <si>
    <t>Contact state &amp; local tax authorities</t>
  </si>
  <si>
    <t>Web expenses</t>
  </si>
  <si>
    <t>Other IT related expenses</t>
  </si>
  <si>
    <t>Other operating costs</t>
  </si>
  <si>
    <t>Total Other Operating Costs</t>
  </si>
  <si>
    <t>TOTAL COSTS</t>
  </si>
  <si>
    <t>NET OPERATING PROFIT</t>
  </si>
  <si>
    <t>Gross Profit less Expenses</t>
  </si>
  <si>
    <t>NET OTHER INCOME</t>
  </si>
  <si>
    <t>Bookshop, Libro, Rewards, etc</t>
  </si>
  <si>
    <t>Less loan payments</t>
  </si>
  <si>
    <t>NET INCOME BEFORE TAXES</t>
  </si>
  <si>
    <t>Funding</t>
  </si>
  <si>
    <t>TOTAL PROJECT COST</t>
  </si>
  <si>
    <t>Less Landlord’s Contribution</t>
  </si>
  <si>
    <t>Cash toward build-out</t>
  </si>
  <si>
    <t>Plus Working Capital</t>
  </si>
  <si>
    <t>TOTAL FUNDING NEEDED</t>
  </si>
  <si>
    <t>Less Owner’s Investment</t>
  </si>
  <si>
    <t>Equals Loan Amount</t>
  </si>
  <si>
    <t>Loan Term (months)</t>
  </si>
  <si>
    <t>Cannot exceed term of lease</t>
  </si>
  <si>
    <t>Annual %</t>
  </si>
  <si>
    <r>
      <rPr>
        <sz val="12"/>
        <color indexed="8"/>
        <rFont val="Helvetica"/>
      </rPr>
      <t xml:space="preserve">Use </t>
    </r>
    <r>
      <rPr>
        <u val="single"/>
        <sz val="12"/>
        <color indexed="22"/>
        <rFont val="Helvetica"/>
      </rPr>
      <t>calculator.net</t>
    </r>
    <r>
      <rPr>
        <sz val="12"/>
        <color indexed="8"/>
        <rFont val="Helvetica"/>
      </rPr>
      <t xml:space="preserve"> or ask your banker</t>
    </r>
  </si>
  <si>
    <t>Monthly Loan Payment</t>
  </si>
  <si>
    <t>Bookstore Start-Up Investment</t>
  </si>
  <si>
    <t>Gross square footage</t>
  </si>
  <si>
    <t>EXPENSE</t>
  </si>
  <si>
    <t>Estimate</t>
  </si>
  <si>
    <t>Investment</t>
  </si>
  <si>
    <t>Build-out</t>
  </si>
  <si>
    <t>New flooring, paint, lighting upgrades, construction, fixture installation</t>
  </si>
  <si>
    <t>Fixtures per selling sq ft</t>
  </si>
  <si>
    <t>Manufactured bookstore fixtures</t>
  </si>
  <si>
    <t>Furniture</t>
  </si>
  <si>
    <t>Display tables, seating</t>
  </si>
  <si>
    <t>Signage</t>
  </si>
  <si>
    <t>Simple exterior sign or awning, interior section signs</t>
  </si>
  <si>
    <t>Computer System</t>
  </si>
  <si>
    <t>Equipment</t>
  </si>
  <si>
    <t>Stereo, safe, office copier/scanner</t>
  </si>
  <si>
    <t>Inventory</t>
  </si>
  <si>
    <t>Book &amp; non-book</t>
  </si>
  <si>
    <t>Display Accessories</t>
  </si>
  <si>
    <t>For merchandising tables, slat wall areas, counters</t>
  </si>
  <si>
    <t>Printed &amp; Office Supplies</t>
  </si>
  <si>
    <t>Bookmarks, bags, etc.</t>
  </si>
  <si>
    <t>Marketing &amp; PR</t>
  </si>
  <si>
    <t>Logo, ads, newspaper insertions, e-newsletter</t>
  </si>
  <si>
    <t>Payroll - Pre-opening</t>
  </si>
  <si>
    <t>Staff training, merchandising - Set-up for 1 week with 80 total hours @ your hourly rate</t>
  </si>
  <si>
    <t>Professional Services</t>
  </si>
  <si>
    <t xml:space="preserve">  Attorney - Incorporation</t>
  </si>
  <si>
    <t xml:space="preserve">  Inventory Selection</t>
  </si>
  <si>
    <t>*</t>
  </si>
  <si>
    <t>$3.50/ssf</t>
  </si>
  <si>
    <t xml:space="preserve">  Store Design</t>
  </si>
  <si>
    <t>$3.50/sf</t>
  </si>
  <si>
    <t xml:space="preserve">  Merchandising/Training</t>
  </si>
  <si>
    <t>2 days on-site merchandising &amp; staff training</t>
  </si>
  <si>
    <t xml:space="preserve">  Other Consulting</t>
  </si>
  <si>
    <t>Licenses &amp; Fees</t>
  </si>
  <si>
    <t>Professional Development</t>
  </si>
  <si>
    <t xml:space="preserve">Paz workshop tuition &amp; travel expenses </t>
  </si>
  <si>
    <t>Dues &amp; Subscriptions</t>
  </si>
  <si>
    <t>ABA, regional booksellers assoc plus local organizations</t>
  </si>
  <si>
    <t>Cash Drawers &amp; Petty Cash</t>
  </si>
  <si>
    <t>Other-Deposits (rent/utility)</t>
  </si>
  <si>
    <t>Contingency</t>
  </si>
  <si>
    <t>TOTAL</t>
  </si>
  <si>
    <t>Per Selling Square Foot</t>
  </si>
  <si>
    <t>Based on fees for Paz services</t>
  </si>
  <si>
    <t>Proforma Income Statement</t>
  </si>
  <si>
    <t>Year 1</t>
  </si>
  <si>
    <t>Gross square feet</t>
  </si>
  <si>
    <t>Selling square feet</t>
  </si>
  <si>
    <t>Industry</t>
  </si>
  <si>
    <t>Jan</t>
  </si>
  <si>
    <t>Feb</t>
  </si>
  <si>
    <t>Mar</t>
  </si>
  <si>
    <t>Apr</t>
  </si>
  <si>
    <t>May</t>
  </si>
  <si>
    <t>Jun</t>
  </si>
  <si>
    <t>Jul</t>
  </si>
  <si>
    <t>Aug</t>
  </si>
  <si>
    <t>Sept</t>
  </si>
  <si>
    <t>Oct</t>
  </si>
  <si>
    <t>Nov</t>
  </si>
  <si>
    <t>Dec</t>
  </si>
  <si>
    <t>% of</t>
  </si>
  <si>
    <t>Average</t>
  </si>
  <si>
    <t>Sales</t>
  </si>
  <si>
    <t>SALES</t>
  </si>
  <si>
    <t>Low Sales/ssf</t>
  </si>
  <si>
    <t>Monthly % of Total</t>
  </si>
  <si>
    <t>COST OF GOODS SOLD</t>
  </si>
  <si>
    <t>OPERATING COSTS</t>
  </si>
  <si>
    <t>Salaries</t>
  </si>
  <si>
    <t>Other Occupancy</t>
  </si>
  <si>
    <t>Marketing</t>
  </si>
  <si>
    <t>Office</t>
  </si>
  <si>
    <t>Travel &amp; Entertainment</t>
  </si>
  <si>
    <t>Insurance</t>
  </si>
  <si>
    <t>Credit Card Services</t>
  </si>
  <si>
    <t>Misc. Taxes</t>
  </si>
  <si>
    <t>Website</t>
  </si>
  <si>
    <t>Other IT Related Expenses</t>
  </si>
  <si>
    <t>Other Operating</t>
  </si>
  <si>
    <t>TOTAL OPERATING COSTS</t>
  </si>
  <si>
    <t>Less Loan Repayment</t>
  </si>
  <si>
    <t>NET PROFIT</t>
  </si>
  <si>
    <t>* higher during start-up</t>
  </si>
  <si>
    <t>Payroll Days per Month</t>
  </si>
  <si>
    <t>% of Total Year</t>
  </si>
  <si>
    <t>Year 2</t>
  </si>
  <si>
    <t>Middle Sales/ssf</t>
  </si>
  <si>
    <t>Year 3</t>
  </si>
  <si>
    <t>Best Practice Sales/ssf</t>
  </si>
  <si>
    <t>Cash Flow Analysis</t>
  </si>
  <si>
    <t xml:space="preserve">  Automatically calculated &amp; carried forward to next year</t>
  </si>
  <si>
    <t>BEGINNING CASH</t>
  </si>
  <si>
    <t>PLUS SALES</t>
  </si>
  <si>
    <t>CASH AVAILABLE</t>
  </si>
  <si>
    <t>CASH OUT</t>
  </si>
  <si>
    <t>Cost of Goods</t>
  </si>
  <si>
    <t>Operating Costs</t>
  </si>
  <si>
    <t>NET OPERATING CASH</t>
  </si>
  <si>
    <t>NET CASH FLOW</t>
  </si>
  <si>
    <t>Cash Balance EOY</t>
  </si>
  <si>
    <t xml:space="preserve"> Other Occupancy</t>
  </si>
  <si>
    <t>Best Practices Sales/ssf</t>
  </si>
</sst>
</file>

<file path=xl/styles.xml><?xml version="1.0" encoding="utf-8"?>
<styleSheet xmlns="http://schemas.openxmlformats.org/spreadsheetml/2006/main">
  <numFmts count="9">
    <numFmt numFmtId="0" formatCode="General"/>
    <numFmt numFmtId="59" formatCode="&quot;$&quot;0"/>
    <numFmt numFmtId="60" formatCode="&quot;$&quot;#,##0"/>
    <numFmt numFmtId="61" formatCode="#,##0.0%"/>
    <numFmt numFmtId="62" formatCode="&quot;$&quot;#,##0.00"/>
    <numFmt numFmtId="63" formatCode="0.0%"/>
    <numFmt numFmtId="64" formatCode="#,##0%"/>
    <numFmt numFmtId="65" formatCode="#,##0.00%"/>
    <numFmt numFmtId="66" formatCode="0.000%"/>
  </numFmts>
  <fonts count="14">
    <font>
      <sz val="10"/>
      <color indexed="8"/>
      <name val="Helvetica"/>
    </font>
    <font>
      <sz val="12"/>
      <color indexed="8"/>
      <name val="Helvetica Neue"/>
    </font>
    <font>
      <sz val="13"/>
      <color indexed="8"/>
      <name val="Helvetica"/>
    </font>
    <font>
      <b val="1"/>
      <sz val="12"/>
      <color indexed="8"/>
      <name val="Helvetica"/>
    </font>
    <font>
      <b val="1"/>
      <sz val="10"/>
      <color indexed="8"/>
      <name val="Helvetica"/>
    </font>
    <font>
      <b val="1"/>
      <sz val="12"/>
      <color indexed="8"/>
      <name val="Helvetica Neue"/>
    </font>
    <font>
      <sz val="10"/>
      <color indexed="8"/>
      <name val="Helvetica Neue"/>
    </font>
    <font>
      <i val="1"/>
      <sz val="10"/>
      <color indexed="8"/>
      <name val="Helvetica Neue"/>
    </font>
    <font>
      <b val="1"/>
      <sz val="10"/>
      <color indexed="8"/>
      <name val="Helvetica Neue"/>
    </font>
    <font>
      <b val="1"/>
      <u val="single"/>
      <sz val="10"/>
      <color indexed="8"/>
      <name val="Helvetica Neue"/>
    </font>
    <font>
      <sz val="12"/>
      <color indexed="8"/>
      <name val="Helvetica"/>
    </font>
    <font>
      <u val="single"/>
      <sz val="12"/>
      <color indexed="22"/>
      <name val="Helvetica"/>
    </font>
    <font>
      <b val="1"/>
      <sz val="10"/>
      <color indexed="25"/>
      <name val="Helvetica Neue"/>
    </font>
    <font>
      <b val="1"/>
      <i val="1"/>
      <sz val="10"/>
      <color indexed="8"/>
      <name val="Helvetica Neue"/>
    </font>
  </fonts>
  <fills count="14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1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5"/>
        <bgColor auto="1"/>
      </patternFill>
    </fill>
    <fill>
      <patternFill patternType="solid">
        <fgColor indexed="16"/>
        <bgColor auto="1"/>
      </patternFill>
    </fill>
    <fill>
      <patternFill patternType="solid">
        <fgColor indexed="17"/>
        <bgColor auto="1"/>
      </patternFill>
    </fill>
    <fill>
      <patternFill patternType="solid">
        <fgColor indexed="18"/>
        <bgColor auto="1"/>
      </patternFill>
    </fill>
    <fill>
      <patternFill patternType="solid">
        <fgColor indexed="19"/>
        <bgColor auto="1"/>
      </patternFill>
    </fill>
    <fill>
      <patternFill patternType="solid">
        <fgColor indexed="20"/>
        <bgColor auto="1"/>
      </patternFill>
    </fill>
    <fill>
      <patternFill patternType="solid">
        <fgColor indexed="21"/>
        <bgColor auto="1"/>
      </patternFill>
    </fill>
    <fill>
      <patternFill patternType="solid">
        <fgColor indexed="23"/>
        <bgColor auto="1"/>
      </patternFill>
    </fill>
    <fill>
      <patternFill patternType="solid">
        <fgColor indexed="26"/>
        <bgColor auto="1"/>
      </patternFill>
    </fill>
  </fills>
  <borders count="15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3"/>
      </right>
      <top style="thin">
        <color indexed="13"/>
      </top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4"/>
      </bottom>
      <diagonal/>
    </border>
    <border>
      <left style="thin">
        <color indexed="10"/>
      </left>
      <right style="thin">
        <color indexed="13"/>
      </right>
      <top/>
      <bottom/>
      <diagonal/>
    </border>
    <border>
      <left style="thin">
        <color indexed="10"/>
      </left>
      <right style="thin">
        <color indexed="14"/>
      </right>
      <top style="thin">
        <color indexed="14"/>
      </top>
      <bottom style="thin">
        <color indexed="10"/>
      </bottom>
      <diagonal/>
    </border>
    <border>
      <left style="thin">
        <color indexed="14"/>
      </left>
      <right style="thin">
        <color indexed="10"/>
      </right>
      <top style="thin">
        <color indexed="14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4"/>
      </top>
      <bottom style="thin">
        <color indexed="10"/>
      </bottom>
      <diagonal/>
    </border>
    <border>
      <left style="thin">
        <color indexed="10"/>
      </left>
      <right style="thin">
        <color indexed="14"/>
      </right>
      <top style="thin">
        <color indexed="10"/>
      </top>
      <bottom style="thin">
        <color indexed="10"/>
      </bottom>
      <diagonal/>
    </border>
    <border>
      <left style="thin">
        <color indexed="14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3"/>
      </right>
      <top/>
      <bottom style="thin">
        <color indexed="13"/>
      </bottom>
      <diagonal/>
    </border>
    <border>
      <left style="thin">
        <color indexed="24"/>
      </left>
      <right style="thin">
        <color indexed="24"/>
      </right>
      <top style="thin">
        <color indexed="24"/>
      </top>
      <bottom style="thin">
        <color indexed="24"/>
      </bottom>
      <diagonal/>
    </border>
    <border>
      <left style="thin">
        <color indexed="10"/>
      </left>
      <right style="thin">
        <color indexed="14"/>
      </right>
      <top style="thin">
        <color indexed="10"/>
      </top>
      <bottom style="thin">
        <color indexed="24"/>
      </bottom>
      <diagonal/>
    </border>
    <border>
      <left style="thin">
        <color indexed="24"/>
      </left>
      <right style="thin">
        <color indexed="14"/>
      </right>
      <top style="thin">
        <color indexed="24"/>
      </top>
      <bottom style="thin">
        <color indexed="24"/>
      </bottom>
      <diagonal/>
    </border>
    <border>
      <left style="thin">
        <color indexed="24"/>
      </left>
      <right style="thin">
        <color indexed="14"/>
      </right>
      <top style="thin">
        <color indexed="24"/>
      </top>
      <bottom style="thin">
        <color indexed="10"/>
      </bottom>
      <diagonal/>
    </border>
  </borders>
  <cellStyleXfs count="1">
    <xf numFmtId="0" fontId="0" applyNumberFormat="0" applyFont="1" applyFill="0" applyBorder="0" applyAlignment="1" applyProtection="0">
      <alignment vertical="top" wrapText="1"/>
    </xf>
  </cellStyleXfs>
  <cellXfs count="242">
    <xf numFmtId="0" fontId="0" applyNumberFormat="0" applyFont="1" applyFill="0" applyBorder="0" applyAlignment="1" applyProtection="0">
      <alignment vertical="top" wrapText="1"/>
    </xf>
    <xf numFmtId="0" fontId="0" applyNumberFormat="1" applyFont="1" applyFill="0" applyBorder="0" applyAlignment="1" applyProtection="0">
      <alignment vertical="top" wrapText="1"/>
    </xf>
    <xf numFmtId="49" fontId="3" fillId="2" borderId="1" applyNumberFormat="1" applyFont="1" applyFill="1" applyBorder="1" applyAlignment="1" applyProtection="0">
      <alignment vertical="top" wrapText="1"/>
    </xf>
    <xf numFmtId="0" fontId="4" fillId="2" borderId="1" applyNumberFormat="0" applyFont="1" applyFill="1" applyBorder="1" applyAlignment="1" applyProtection="0">
      <alignment vertical="top" wrapText="1"/>
    </xf>
    <xf numFmtId="0" fontId="4" fillId="3" borderId="1" applyNumberFormat="0" applyFont="1" applyFill="1" applyBorder="1" applyAlignment="1" applyProtection="0">
      <alignment vertical="top" wrapText="1"/>
    </xf>
    <xf numFmtId="49" fontId="4" fillId="3" borderId="1" applyNumberFormat="1" applyFont="1" applyFill="1" applyBorder="1" applyAlignment="1" applyProtection="0">
      <alignment vertical="top" wrapText="1"/>
    </xf>
    <xf numFmtId="0" fontId="0" fillId="4" borderId="2" applyNumberFormat="0" applyFont="1" applyFill="1" applyBorder="1" applyAlignment="1" applyProtection="0">
      <alignment vertical="top" wrapText="1"/>
    </xf>
    <xf numFmtId="49" fontId="4" fillId="2" borderId="3" applyNumberFormat="1" applyFont="1" applyFill="1" applyBorder="1" applyAlignment="1" applyProtection="0">
      <alignment vertical="top" wrapText="1"/>
    </xf>
    <xf numFmtId="0" fontId="4" fillId="2" borderId="3" applyNumberFormat="0" applyFont="1" applyFill="1" applyBorder="1" applyAlignment="1" applyProtection="0">
      <alignment vertical="top" wrapText="1"/>
    </xf>
    <xf numFmtId="0" fontId="0" fillId="4" borderId="4" applyNumberFormat="0" applyFont="1" applyFill="1" applyBorder="1" applyAlignment="1" applyProtection="0">
      <alignment vertical="top" wrapText="1"/>
    </xf>
    <xf numFmtId="0" fontId="4" fillId="5" borderId="5" applyNumberFormat="0" applyFont="1" applyFill="1" applyBorder="1" applyAlignment="1" applyProtection="0">
      <alignment vertical="top" wrapText="1"/>
    </xf>
    <xf numFmtId="0" fontId="0" fillId="4" borderId="6" applyNumberFormat="0" applyFont="1" applyFill="1" applyBorder="1" applyAlignment="1" applyProtection="0">
      <alignment vertical="top" wrapText="1"/>
    </xf>
    <xf numFmtId="0" fontId="0" fillId="4" borderId="7" applyNumberFormat="0" applyFont="1" applyFill="1" applyBorder="1" applyAlignment="1" applyProtection="0">
      <alignment vertical="top" wrapText="1"/>
    </xf>
    <xf numFmtId="49" fontId="4" fillId="6" borderId="8" applyNumberFormat="1" applyFont="1" applyFill="1" applyBorder="1" applyAlignment="1" applyProtection="0">
      <alignment vertical="top" wrapText="1"/>
    </xf>
    <xf numFmtId="0" fontId="0" fillId="7" borderId="9" applyNumberFormat="1" applyFont="1" applyFill="1" applyBorder="1" applyAlignment="1" applyProtection="0">
      <alignment vertical="top" wrapText="1"/>
    </xf>
    <xf numFmtId="0" fontId="0" fillId="8" borderId="1" applyNumberFormat="0" applyFont="1" applyFill="1" applyBorder="1" applyAlignment="1" applyProtection="0">
      <alignment vertical="top" wrapText="1"/>
    </xf>
    <xf numFmtId="49" fontId="0" fillId="8" borderId="1" applyNumberFormat="1" applyFont="1" applyFill="1" applyBorder="1" applyAlignment="1" applyProtection="0">
      <alignment vertical="top" wrapText="1"/>
    </xf>
    <xf numFmtId="0" fontId="4" fillId="5" borderId="8" applyNumberFormat="0" applyFont="1" applyFill="1" applyBorder="1" applyAlignment="1" applyProtection="0">
      <alignment vertical="top" wrapText="1"/>
    </xf>
    <xf numFmtId="0" fontId="0" fillId="4" borderId="1" applyNumberFormat="0" applyFont="1" applyFill="1" applyBorder="1" applyAlignment="1" applyProtection="0">
      <alignment vertical="top" wrapText="1"/>
    </xf>
    <xf numFmtId="49" fontId="0" fillId="4" borderId="1" applyNumberFormat="1" applyFont="1" applyFill="1" applyBorder="1" applyAlignment="1" applyProtection="0">
      <alignment vertical="top" wrapText="1"/>
    </xf>
    <xf numFmtId="0" fontId="0" fillId="8" borderId="9" applyNumberFormat="0" applyFont="1" applyFill="1" applyBorder="1" applyAlignment="1" applyProtection="0">
      <alignment vertical="top" wrapText="1"/>
    </xf>
    <xf numFmtId="49" fontId="4" fillId="7" borderId="8" applyNumberFormat="1" applyFont="1" applyFill="1" applyBorder="1" applyAlignment="1" applyProtection="0">
      <alignment vertical="top" wrapText="1"/>
    </xf>
    <xf numFmtId="59" fontId="0" fillId="4" borderId="9" applyNumberFormat="1" applyFont="1" applyFill="1" applyBorder="1" applyAlignment="1" applyProtection="0">
      <alignment vertical="top" wrapText="1"/>
    </xf>
    <xf numFmtId="49" fontId="4" fillId="9" borderId="1" applyNumberFormat="1" applyFont="1" applyFill="1" applyBorder="1" applyAlignment="1" applyProtection="0">
      <alignment vertical="top" wrapText="1"/>
    </xf>
    <xf numFmtId="49" fontId="4" fillId="5" borderId="8" applyNumberFormat="1" applyFont="1" applyFill="1" applyBorder="1" applyAlignment="1" applyProtection="0">
      <alignment vertical="top" wrapText="1"/>
    </xf>
    <xf numFmtId="60" fontId="0" fillId="7" borderId="9" applyNumberFormat="1" applyFont="1" applyFill="1" applyBorder="1" applyAlignment="1" applyProtection="0">
      <alignment vertical="top" wrapText="1"/>
    </xf>
    <xf numFmtId="60" fontId="4" fillId="4" borderId="9" applyNumberFormat="1" applyFont="1" applyFill="1" applyBorder="1" applyAlignment="1" applyProtection="0">
      <alignment vertical="top" wrapText="1"/>
    </xf>
    <xf numFmtId="60" fontId="0" fillId="8" borderId="9" applyNumberFormat="1" applyFont="1" applyFill="1" applyBorder="1" applyAlignment="1" applyProtection="0">
      <alignment vertical="top" wrapText="1"/>
    </xf>
    <xf numFmtId="49" fontId="4" fillId="10" borderId="8" applyNumberFormat="1" applyFont="1" applyFill="1" applyBorder="1" applyAlignment="1" applyProtection="0">
      <alignment vertical="top" wrapText="1"/>
    </xf>
    <xf numFmtId="60" fontId="0" fillId="4" borderId="9" applyNumberFormat="1" applyFont="1" applyFill="1" applyBorder="1" applyAlignment="1" applyProtection="0">
      <alignment vertical="top" wrapText="1"/>
    </xf>
    <xf numFmtId="3" fontId="0" fillId="7" borderId="9" applyNumberFormat="1" applyFont="1" applyFill="1" applyBorder="1" applyAlignment="1" applyProtection="0">
      <alignment vertical="top" wrapText="1"/>
    </xf>
    <xf numFmtId="61" fontId="0" fillId="7" borderId="9" applyNumberFormat="1" applyFont="1" applyFill="1" applyBorder="1" applyAlignment="1" applyProtection="0">
      <alignment vertical="top" wrapText="1"/>
    </xf>
    <xf numFmtId="49" fontId="4" fillId="5" borderId="8" applyNumberFormat="1" applyFont="1" applyFill="1" applyBorder="1" applyAlignment="1" applyProtection="0">
      <alignment horizontal="right" vertical="top" wrapText="1"/>
    </xf>
    <xf numFmtId="3" fontId="0" fillId="4" borderId="9" applyNumberFormat="1" applyFont="1" applyFill="1" applyBorder="1" applyAlignment="1" applyProtection="0">
      <alignment vertical="top" wrapText="1"/>
    </xf>
    <xf numFmtId="62" fontId="0" fillId="8" borderId="9" applyNumberFormat="1" applyFont="1" applyFill="1" applyBorder="1" applyAlignment="1" applyProtection="0">
      <alignment vertical="top" wrapText="1"/>
    </xf>
    <xf numFmtId="49" fontId="4" fillId="11" borderId="8" applyNumberFormat="1" applyFont="1" applyFill="1" applyBorder="1" applyAlignment="1" applyProtection="0">
      <alignment vertical="top" wrapText="1"/>
    </xf>
    <xf numFmtId="49" fontId="4" fillId="4" borderId="8" applyNumberFormat="1" applyFont="1" applyFill="1" applyBorder="1" applyAlignment="1" applyProtection="0">
      <alignment vertical="top" wrapText="1"/>
    </xf>
    <xf numFmtId="49" fontId="0" fillId="4" borderId="9" applyNumberFormat="1" applyFont="1" applyFill="1" applyBorder="1" applyAlignment="1" applyProtection="0">
      <alignment horizontal="right" vertical="top" wrapText="1"/>
    </xf>
    <xf numFmtId="60" fontId="0" fillId="8" borderId="9" applyNumberFormat="1" applyFont="1" applyFill="1" applyBorder="1" applyAlignment="1" applyProtection="0">
      <alignment horizontal="right" vertical="top" wrapText="1"/>
    </xf>
    <xf numFmtId="59" fontId="0" fillId="7" borderId="1" applyNumberFormat="1" applyFont="1" applyFill="1" applyBorder="1" applyAlignment="1" applyProtection="0">
      <alignment vertical="top" wrapText="1"/>
    </xf>
    <xf numFmtId="59" fontId="0" fillId="8" borderId="1" applyNumberFormat="1" applyFont="1" applyFill="1" applyBorder="1" applyAlignment="1" applyProtection="0">
      <alignment vertical="top" wrapText="1"/>
    </xf>
    <xf numFmtId="59" fontId="0" fillId="4" borderId="1" applyNumberFormat="1" applyFont="1" applyFill="1" applyBorder="1" applyAlignment="1" applyProtection="0">
      <alignment vertical="top" wrapText="1"/>
    </xf>
    <xf numFmtId="63" fontId="0" fillId="7" borderId="1" applyNumberFormat="1" applyFont="1" applyFill="1" applyBorder="1" applyAlignment="1" applyProtection="0">
      <alignment vertical="top" wrapText="1"/>
    </xf>
    <xf numFmtId="63" fontId="0" fillId="4" borderId="1" applyNumberFormat="1" applyFont="1" applyFill="1" applyBorder="1" applyAlignment="1" applyProtection="0">
      <alignment vertical="top" wrapText="1"/>
    </xf>
    <xf numFmtId="63" fontId="0" fillId="8" borderId="1" applyNumberFormat="1" applyFont="1" applyFill="1" applyBorder="1" applyAlignment="1" applyProtection="0">
      <alignment vertical="top" wrapText="1"/>
    </xf>
    <xf numFmtId="0" fontId="0" fillId="4" borderId="10" applyNumberFormat="0" applyFont="1" applyFill="1" applyBorder="1" applyAlignment="1" applyProtection="0">
      <alignment vertical="top" wrapText="1"/>
    </xf>
    <xf numFmtId="0" fontId="0" applyNumberFormat="1" applyFont="1" applyFill="0" applyBorder="0" applyAlignment="1" applyProtection="0">
      <alignment vertical="top" wrapText="1"/>
    </xf>
    <xf numFmtId="49" fontId="5" fillId="2" borderId="3" applyNumberFormat="1" applyFont="1" applyFill="1" applyBorder="1" applyAlignment="1" applyProtection="0">
      <alignment vertical="top" wrapText="1"/>
    </xf>
    <xf numFmtId="0" fontId="6" fillId="2" borderId="3" applyNumberFormat="0" applyFont="1" applyFill="1" applyBorder="1" applyAlignment="1" applyProtection="0">
      <alignment horizontal="center" vertical="top" wrapText="1"/>
    </xf>
    <xf numFmtId="49" fontId="7" fillId="5" borderId="5" applyNumberFormat="1" applyFont="1" applyFill="1" applyBorder="1" applyAlignment="1" applyProtection="0">
      <alignment vertical="top" wrapText="1"/>
    </xf>
    <xf numFmtId="0" fontId="6" fillId="4" borderId="6" applyNumberFormat="0" applyFont="1" applyFill="1" applyBorder="1" applyAlignment="1" applyProtection="0">
      <alignment horizontal="center" vertical="top" wrapText="1"/>
    </xf>
    <xf numFmtId="0" fontId="6" fillId="4" borderId="7" applyNumberFormat="0" applyFont="1" applyFill="1" applyBorder="1" applyAlignment="1" applyProtection="0">
      <alignment horizontal="center" vertical="top" wrapText="1"/>
    </xf>
    <xf numFmtId="49" fontId="7" fillId="5" borderId="8" applyNumberFormat="1" applyFont="1" applyFill="1" applyBorder="1" applyAlignment="1" applyProtection="0">
      <alignment horizontal="left" vertical="top" wrapText="1"/>
    </xf>
    <xf numFmtId="0" fontId="6" fillId="8" borderId="9" applyNumberFormat="0" applyFont="1" applyFill="1" applyBorder="1" applyAlignment="1" applyProtection="0">
      <alignment horizontal="center" vertical="top" wrapText="1"/>
    </xf>
    <xf numFmtId="0" fontId="6" fillId="8" borderId="1" applyNumberFormat="0" applyFont="1" applyFill="1" applyBorder="1" applyAlignment="1" applyProtection="0">
      <alignment horizontal="center" vertical="top" wrapText="1"/>
    </xf>
    <xf numFmtId="49" fontId="6" fillId="5" borderId="8" applyNumberFormat="1" applyFont="1" applyFill="1" applyBorder="1" applyAlignment="1" applyProtection="0">
      <alignment horizontal="right" vertical="top" wrapText="1"/>
    </xf>
    <xf numFmtId="0" fontId="8" fillId="4" borderId="9" applyNumberFormat="1" applyFont="1" applyFill="1" applyBorder="1" applyAlignment="1" applyProtection="0">
      <alignment horizontal="center" vertical="top" wrapText="1"/>
    </xf>
    <xf numFmtId="0" fontId="6" fillId="4" borderId="1" applyNumberFormat="0" applyFont="1" applyFill="1" applyBorder="1" applyAlignment="1" applyProtection="0">
      <alignment horizontal="center" vertical="top" wrapText="1"/>
    </xf>
    <xf numFmtId="0" fontId="9" fillId="4" borderId="9" applyNumberFormat="0" applyFont="1" applyFill="1" applyBorder="1" applyAlignment="1" applyProtection="0">
      <alignment horizontal="center" vertical="top" wrapText="1"/>
    </xf>
    <xf numFmtId="49" fontId="9" fillId="4" borderId="1" applyNumberFormat="1" applyFont="1" applyFill="1" applyBorder="1" applyAlignment="1" applyProtection="0">
      <alignment horizontal="center" vertical="top" wrapText="1"/>
    </xf>
    <xf numFmtId="49" fontId="8" fillId="4" borderId="1" applyNumberFormat="1" applyFont="1" applyFill="1" applyBorder="1" applyAlignment="1" applyProtection="0">
      <alignment horizontal="center" vertical="top" wrapText="1"/>
    </xf>
    <xf numFmtId="0" fontId="6" fillId="8" borderId="1" applyNumberFormat="1" applyFont="1" applyFill="1" applyBorder="1" applyAlignment="1" applyProtection="0">
      <alignment horizontal="center" vertical="top" wrapText="1"/>
    </xf>
    <xf numFmtId="49" fontId="8" fillId="8" borderId="1" applyNumberFormat="1" applyFont="1" applyFill="1" applyBorder="1" applyAlignment="1" applyProtection="0">
      <alignment horizontal="center" vertical="top" wrapText="1"/>
    </xf>
    <xf numFmtId="9" fontId="6" fillId="4" borderId="9" applyNumberFormat="1" applyFont="1" applyFill="1" applyBorder="1" applyAlignment="1" applyProtection="0">
      <alignment horizontal="center" vertical="top" wrapText="1"/>
    </xf>
    <xf numFmtId="9" fontId="6" fillId="4" borderId="1" applyNumberFormat="1" applyFont="1" applyFill="1" applyBorder="1" applyAlignment="1" applyProtection="0">
      <alignment horizontal="center" vertical="top" wrapText="1"/>
    </xf>
    <xf numFmtId="49" fontId="8" fillId="5" borderId="8" applyNumberFormat="1" applyFont="1" applyFill="1" applyBorder="1" applyAlignment="1" applyProtection="0">
      <alignment vertical="top" wrapText="1"/>
    </xf>
    <xf numFmtId="64" fontId="8" fillId="4" borderId="9" applyNumberFormat="1" applyFont="1" applyFill="1" applyBorder="1" applyAlignment="1" applyProtection="0">
      <alignment horizontal="center" vertical="top" wrapText="1"/>
    </xf>
    <xf numFmtId="9" fontId="8" fillId="4" borderId="1" applyNumberFormat="1" applyFont="1" applyFill="1" applyBorder="1" applyAlignment="1" applyProtection="0">
      <alignment horizontal="center" vertical="top" wrapText="1"/>
    </xf>
    <xf numFmtId="61" fontId="6" fillId="8" borderId="9" applyNumberFormat="1" applyFont="1" applyFill="1" applyBorder="1" applyAlignment="1" applyProtection="0">
      <alignment horizontal="center" vertical="top" wrapText="1"/>
    </xf>
    <xf numFmtId="10" fontId="6" fillId="8" borderId="1" applyNumberFormat="1" applyFont="1" applyFill="1" applyBorder="1" applyAlignment="1" applyProtection="0">
      <alignment horizontal="center" vertical="top" wrapText="1"/>
    </xf>
    <xf numFmtId="61" fontId="6" fillId="4" borderId="9" applyNumberFormat="1" applyFont="1" applyFill="1" applyBorder="1" applyAlignment="1" applyProtection="0">
      <alignment horizontal="center" vertical="top" wrapText="1"/>
    </xf>
    <xf numFmtId="10" fontId="6" fillId="4" borderId="1" applyNumberFormat="1" applyFont="1" applyFill="1" applyBorder="1" applyAlignment="1" applyProtection="0">
      <alignment horizontal="center" vertical="top" wrapText="1"/>
    </xf>
    <xf numFmtId="61" fontId="8" fillId="4" borderId="9" applyNumberFormat="1" applyFont="1" applyFill="1" applyBorder="1" applyAlignment="1" applyProtection="0">
      <alignment horizontal="center" vertical="top" wrapText="1"/>
    </xf>
    <xf numFmtId="10" fontId="8" fillId="4" borderId="1" applyNumberFormat="1" applyFont="1" applyFill="1" applyBorder="1" applyAlignment="1" applyProtection="0">
      <alignment horizontal="center" vertical="top" wrapText="1"/>
    </xf>
    <xf numFmtId="61" fontId="8" fillId="8" borderId="9" applyNumberFormat="1" applyFont="1" applyFill="1" applyBorder="1" applyAlignment="1" applyProtection="0">
      <alignment horizontal="center" vertical="top" wrapText="1"/>
    </xf>
    <xf numFmtId="65" fontId="8" fillId="8" borderId="1" applyNumberFormat="1" applyFont="1" applyFill="1" applyBorder="1" applyAlignment="1" applyProtection="0">
      <alignment horizontal="center" vertical="top" wrapText="1"/>
    </xf>
    <xf numFmtId="65" fontId="6" fillId="4" borderId="9" applyNumberFormat="1" applyFont="1" applyFill="1" applyBorder="1" applyAlignment="1" applyProtection="0">
      <alignment horizontal="center" vertical="top" wrapText="1"/>
    </xf>
    <xf numFmtId="65" fontId="6" fillId="8" borderId="9" applyNumberFormat="1" applyFont="1" applyFill="1" applyBorder="1" applyAlignment="1" applyProtection="0">
      <alignment horizontal="center" vertical="top" wrapText="1"/>
    </xf>
    <xf numFmtId="65" fontId="8" fillId="4" borderId="9" applyNumberFormat="1" applyFont="1" applyFill="1" applyBorder="1" applyAlignment="1" applyProtection="0">
      <alignment horizontal="center" vertical="top" wrapText="1"/>
    </xf>
    <xf numFmtId="65" fontId="8" fillId="4" borderId="1" applyNumberFormat="1" applyFont="1" applyFill="1" applyBorder="1" applyAlignment="1" applyProtection="0">
      <alignment horizontal="center" vertical="top" wrapText="1"/>
    </xf>
    <xf numFmtId="49" fontId="8" fillId="5" borderId="8" applyNumberFormat="1" applyFont="1" applyFill="1" applyBorder="1" applyAlignment="1" applyProtection="0">
      <alignment horizontal="left" vertical="top" wrapText="1"/>
    </xf>
    <xf numFmtId="65" fontId="8" fillId="8" borderId="9" applyNumberFormat="1" applyFont="1" applyFill="1" applyBorder="1" applyAlignment="1" applyProtection="0">
      <alignment horizontal="center" vertical="top" wrapText="1"/>
    </xf>
    <xf numFmtId="49" fontId="6" fillId="4" borderId="1" applyNumberFormat="1" applyFont="1" applyFill="1" applyBorder="1" applyAlignment="1" applyProtection="0">
      <alignment vertical="top" wrapText="1"/>
    </xf>
    <xf numFmtId="49" fontId="6" fillId="8" borderId="1" applyNumberFormat="1" applyFont="1" applyFill="1" applyBorder="1" applyAlignment="1" applyProtection="0">
      <alignment vertical="top" wrapText="1"/>
    </xf>
    <xf numFmtId="65" fontId="6" fillId="8" borderId="1" applyNumberFormat="1" applyFont="1" applyFill="1" applyBorder="1" applyAlignment="1" applyProtection="0">
      <alignment horizontal="center" vertical="top" wrapText="1"/>
    </xf>
    <xf numFmtId="0" fontId="0" applyNumberFormat="1" applyFont="1" applyFill="0" applyBorder="0" applyAlignment="1" applyProtection="0">
      <alignment vertical="top" wrapText="1"/>
    </xf>
    <xf numFmtId="49" fontId="3" fillId="2" borderId="3" applyNumberFormat="1" applyFont="1" applyFill="1" applyBorder="1" applyAlignment="1" applyProtection="0">
      <alignment vertical="top" wrapText="1"/>
    </xf>
    <xf numFmtId="0" fontId="3" fillId="5" borderId="8" applyNumberFormat="0" applyFont="1" applyFill="1" applyBorder="1" applyAlignment="1" applyProtection="0">
      <alignment vertical="top" wrapText="1"/>
    </xf>
    <xf numFmtId="49" fontId="3" fillId="8" borderId="9" applyNumberFormat="1" applyFont="1" applyFill="1" applyBorder="1" applyAlignment="1" applyProtection="0">
      <alignment horizontal="center" vertical="top" wrapText="1"/>
    </xf>
    <xf numFmtId="49" fontId="3" fillId="8" borderId="1" applyNumberFormat="1" applyFont="1" applyFill="1" applyBorder="1" applyAlignment="1" applyProtection="0">
      <alignment horizontal="center" vertical="top" wrapText="1"/>
    </xf>
    <xf numFmtId="49" fontId="3" fillId="5" borderId="8" applyNumberFormat="1" applyFont="1" applyFill="1" applyBorder="1" applyAlignment="1" applyProtection="0">
      <alignment vertical="top" wrapText="1"/>
    </xf>
    <xf numFmtId="60" fontId="10" fillId="4" borderId="9" applyNumberFormat="1" applyFont="1" applyFill="1" applyBorder="1" applyAlignment="1" applyProtection="0">
      <alignment vertical="top" wrapText="1"/>
    </xf>
    <xf numFmtId="49" fontId="10" fillId="4" borderId="1" applyNumberFormat="1" applyFont="1" applyFill="1" applyBorder="1" applyAlignment="1" applyProtection="0">
      <alignment vertical="top" wrapText="1"/>
    </xf>
    <xf numFmtId="60" fontId="10" fillId="7" borderId="9" applyNumberFormat="1" applyFont="1" applyFill="1" applyBorder="1" applyAlignment="1" applyProtection="0">
      <alignment vertical="top" wrapText="1"/>
    </xf>
    <xf numFmtId="49" fontId="10" fillId="8" borderId="1" applyNumberFormat="1" applyFont="1" applyFill="1" applyBorder="1" applyAlignment="1" applyProtection="0">
      <alignment vertical="top" wrapText="1"/>
    </xf>
    <xf numFmtId="60" fontId="10" fillId="4" borderId="1" applyNumberFormat="1" applyFont="1" applyFill="1" applyBorder="1" applyAlignment="1" applyProtection="0">
      <alignment vertical="top" wrapText="1"/>
    </xf>
    <xf numFmtId="49" fontId="3" fillId="5" borderId="8" applyNumberFormat="1" applyFont="1" applyFill="1" applyBorder="1" applyAlignment="1" applyProtection="0">
      <alignment horizontal="right" vertical="top" wrapText="1"/>
    </xf>
    <xf numFmtId="60" fontId="3" fillId="8" borderId="9" applyNumberFormat="1" applyFont="1" applyFill="1" applyBorder="1" applyAlignment="1" applyProtection="0">
      <alignment vertical="top" wrapText="1"/>
    </xf>
    <xf numFmtId="49" fontId="3" fillId="8" borderId="1" applyNumberFormat="1" applyFont="1" applyFill="1" applyBorder="1" applyAlignment="1" applyProtection="0">
      <alignment vertical="top" wrapText="1"/>
    </xf>
    <xf numFmtId="60" fontId="3" fillId="7" borderId="9" applyNumberFormat="1" applyFont="1" applyFill="1" applyBorder="1" applyAlignment="1" applyProtection="0">
      <alignment vertical="top" wrapText="1"/>
    </xf>
    <xf numFmtId="60" fontId="10" fillId="8" borderId="1" applyNumberFormat="1" applyFont="1" applyFill="1" applyBorder="1" applyAlignment="1" applyProtection="0">
      <alignment vertical="top" wrapText="1"/>
    </xf>
    <xf numFmtId="49" fontId="10" fillId="4" borderId="9" applyNumberFormat="1" applyFont="1" applyFill="1" applyBorder="1" applyAlignment="1" applyProtection="0">
      <alignment vertical="top" wrapText="1"/>
    </xf>
    <xf numFmtId="49" fontId="10" fillId="7" borderId="9" applyNumberFormat="1" applyFont="1" applyFill="1" applyBorder="1" applyAlignment="1" applyProtection="0">
      <alignment vertical="top" wrapText="1"/>
    </xf>
    <xf numFmtId="64" fontId="10" fillId="7" borderId="9" applyNumberFormat="1" applyFont="1" applyFill="1" applyBorder="1" applyAlignment="1" applyProtection="0">
      <alignment vertical="top" wrapText="1"/>
    </xf>
    <xf numFmtId="0" fontId="0" applyNumberFormat="1" applyFont="1" applyFill="0" applyBorder="0" applyAlignment="1" applyProtection="0">
      <alignment vertical="top" wrapText="1"/>
    </xf>
    <xf numFmtId="49" fontId="5" fillId="2" borderId="3" applyNumberFormat="1" applyFont="1" applyFill="1" applyBorder="1" applyAlignment="1" applyProtection="0">
      <alignment horizontal="left" vertical="top" wrapText="1"/>
    </xf>
    <xf numFmtId="0" fontId="4" fillId="4" borderId="3" applyNumberFormat="0" applyFont="1" applyFill="1" applyBorder="1" applyAlignment="1" applyProtection="0">
      <alignment vertical="top" wrapText="1"/>
    </xf>
    <xf numFmtId="0" fontId="8" fillId="5" borderId="5" applyNumberFormat="0" applyFont="1" applyFill="1" applyBorder="1" applyAlignment="1" applyProtection="0">
      <alignment horizontal="right" vertical="top" wrapText="1"/>
    </xf>
    <xf numFmtId="0" fontId="8" fillId="4" borderId="7" applyNumberFormat="0" applyFont="1" applyFill="1" applyBorder="1" applyAlignment="1" applyProtection="0">
      <alignment horizontal="center" vertical="top" wrapText="1"/>
    </xf>
    <xf numFmtId="0" fontId="9" fillId="4" borderId="7" applyNumberFormat="0" applyFont="1" applyFill="1" applyBorder="1" applyAlignment="1" applyProtection="0">
      <alignment horizontal="center" vertical="top" wrapText="1"/>
    </xf>
    <xf numFmtId="0" fontId="9" fillId="4" borderId="7" applyNumberFormat="0" applyFont="1" applyFill="1" applyBorder="1" applyAlignment="1" applyProtection="0">
      <alignment horizontal="left" vertical="top" wrapText="1"/>
    </xf>
    <xf numFmtId="49" fontId="8" fillId="5" borderId="8" applyNumberFormat="1" applyFont="1" applyFill="1" applyBorder="1" applyAlignment="1" applyProtection="0">
      <alignment horizontal="right" vertical="top" wrapText="1"/>
    </xf>
    <xf numFmtId="3" fontId="8" fillId="7" borderId="1" applyNumberFormat="1" applyFont="1" applyFill="1" applyBorder="1" applyAlignment="1" applyProtection="0">
      <alignment horizontal="center" vertical="top"/>
    </xf>
    <xf numFmtId="0" fontId="9" fillId="8" borderId="1" applyNumberFormat="0" applyFont="1" applyFill="1" applyBorder="1" applyAlignment="1" applyProtection="0">
      <alignment horizontal="center" vertical="top" wrapText="1"/>
    </xf>
    <xf numFmtId="49" fontId="6" fillId="8" borderId="1" applyNumberFormat="1" applyFont="1" applyFill="1" applyBorder="1" applyAlignment="1" applyProtection="0">
      <alignment horizontal="left" vertical="top" wrapText="1"/>
    </xf>
    <xf numFmtId="0" fontId="0" fillId="4" borderId="9" applyNumberFormat="0" applyFont="1" applyFill="1" applyBorder="1" applyAlignment="1" applyProtection="0">
      <alignment vertical="top" wrapText="1"/>
    </xf>
    <xf numFmtId="0" fontId="9" fillId="4" borderId="1" applyNumberFormat="0" applyFont="1" applyFill="1" applyBorder="1" applyAlignment="1" applyProtection="0">
      <alignment horizontal="center" vertical="top" wrapText="1"/>
    </xf>
    <xf numFmtId="0" fontId="9" fillId="5" borderId="8" applyNumberFormat="0" applyFont="1" applyFill="1" applyBorder="1" applyAlignment="1" applyProtection="0">
      <alignment horizontal="left" vertical="top" wrapText="1"/>
    </xf>
    <xf numFmtId="49" fontId="9" fillId="5" borderId="8" applyNumberFormat="1" applyFont="1" applyFill="1" applyBorder="1" applyAlignment="1" applyProtection="0">
      <alignment horizontal="left" vertical="top" wrapText="1"/>
    </xf>
    <xf numFmtId="49" fontId="9" fillId="4" borderId="1" applyNumberFormat="1" applyFont="1" applyFill="1" applyBorder="1" applyAlignment="1" applyProtection="0">
      <alignment horizontal="left" vertical="top" wrapText="1"/>
    </xf>
    <xf numFmtId="60" fontId="6" fillId="8" borderId="1" applyNumberFormat="1" applyFont="1" applyFill="1" applyBorder="1" applyAlignment="1" applyProtection="0">
      <alignment horizontal="center" vertical="top" wrapText="1"/>
    </xf>
    <xf numFmtId="60" fontId="0" fillId="8" borderId="1" applyNumberFormat="1" applyFont="1" applyFill="1" applyBorder="1" applyAlignment="1" applyProtection="0">
      <alignment vertical="top" wrapText="1"/>
    </xf>
    <xf numFmtId="60" fontId="0" fillId="7" borderId="1" applyNumberFormat="1" applyFont="1" applyFill="1" applyBorder="1" applyAlignment="1" applyProtection="0">
      <alignment vertical="top"/>
    </xf>
    <xf numFmtId="60" fontId="6" fillId="7" borderId="1" applyNumberFormat="1" applyFont="1" applyFill="1" applyBorder="1" applyAlignment="1" applyProtection="0">
      <alignment horizontal="center" vertical="top" wrapText="1"/>
    </xf>
    <xf numFmtId="60" fontId="0" fillId="4" borderId="1" applyNumberFormat="1" applyFont="1" applyFill="1" applyBorder="1" applyAlignment="1" applyProtection="0">
      <alignment vertical="top" wrapText="1"/>
    </xf>
    <xf numFmtId="60" fontId="0" fillId="4" borderId="1" applyNumberFormat="1" applyFont="1" applyFill="1" applyBorder="1" applyAlignment="1" applyProtection="0">
      <alignment vertical="top"/>
    </xf>
    <xf numFmtId="49" fontId="0" fillId="7" borderId="1" applyNumberFormat="1" applyFont="1" applyFill="1" applyBorder="1" applyAlignment="1" applyProtection="0">
      <alignment vertical="top"/>
    </xf>
    <xf numFmtId="60" fontId="6" fillId="4" borderId="1" applyNumberFormat="1" applyFont="1" applyFill="1" applyBorder="1" applyAlignment="1" applyProtection="0">
      <alignment horizontal="center" vertical="top" wrapText="1"/>
    </xf>
    <xf numFmtId="49" fontId="0" fillId="8" borderId="1" applyNumberFormat="1" applyFont="1" applyFill="1" applyBorder="1" applyAlignment="1" applyProtection="0">
      <alignment vertical="top"/>
    </xf>
    <xf numFmtId="62" fontId="6" fillId="7" borderId="1" applyNumberFormat="1" applyFont="1" applyFill="1" applyBorder="1" applyAlignment="1" applyProtection="0">
      <alignment horizontal="center" vertical="top" wrapText="1"/>
    </xf>
    <xf numFmtId="60" fontId="0" fillId="8" borderId="1" applyNumberFormat="1" applyFont="1" applyFill="1" applyBorder="1" applyAlignment="1" applyProtection="0">
      <alignment vertical="top"/>
    </xf>
    <xf numFmtId="49" fontId="0" fillId="7" borderId="1" applyNumberFormat="1" applyFont="1" applyFill="1" applyBorder="1" applyAlignment="1" applyProtection="0">
      <alignment vertical="top" wrapText="1"/>
    </xf>
    <xf numFmtId="0" fontId="8" fillId="8" borderId="1" applyNumberFormat="0" applyFont="1" applyFill="1" applyBorder="1" applyAlignment="1" applyProtection="0">
      <alignment horizontal="center" vertical="top" wrapText="1"/>
    </xf>
    <xf numFmtId="0" fontId="8" fillId="8" borderId="1" applyNumberFormat="0" applyFont="1" applyFill="1" applyBorder="1" applyAlignment="1" applyProtection="0">
      <alignment vertical="top" wrapText="1"/>
    </xf>
    <xf numFmtId="60" fontId="8" fillId="8" borderId="1" applyNumberFormat="1" applyFont="1" applyFill="1" applyBorder="1" applyAlignment="1" applyProtection="0">
      <alignment vertical="top" wrapText="1"/>
    </xf>
    <xf numFmtId="62" fontId="8" fillId="4" borderId="1" applyNumberFormat="1" applyFont="1" applyFill="1" applyBorder="1" applyAlignment="1" applyProtection="0">
      <alignment vertical="top" wrapText="1"/>
    </xf>
    <xf numFmtId="0" fontId="8" fillId="5" borderId="8" applyNumberFormat="0" applyFont="1" applyFill="1" applyBorder="1" applyAlignment="1" applyProtection="0">
      <alignment horizontal="right" vertical="top" wrapText="1"/>
    </xf>
    <xf numFmtId="0" fontId="8" fillId="4" borderId="1" applyNumberFormat="0" applyFont="1" applyFill="1" applyBorder="1" applyAlignment="1" applyProtection="0">
      <alignment vertical="top" wrapText="1"/>
    </xf>
    <xf numFmtId="0" fontId="0" applyNumberFormat="1" applyFont="1" applyFill="0" applyBorder="0" applyAlignment="1" applyProtection="0">
      <alignment vertical="top" wrapText="1"/>
    </xf>
    <xf numFmtId="49" fontId="5" fillId="12" borderId="11" applyNumberFormat="1" applyFont="1" applyFill="1" applyBorder="1" applyAlignment="1" applyProtection="0">
      <alignment horizontal="left" vertical="top" wrapText="1"/>
    </xf>
    <xf numFmtId="0" fontId="8" fillId="12" borderId="11" applyNumberFormat="0" applyFont="1" applyFill="1" applyBorder="1" applyAlignment="1" applyProtection="0">
      <alignment horizontal="center" vertical="top" wrapText="1"/>
    </xf>
    <xf numFmtId="0" fontId="8" fillId="12" borderId="11" applyNumberFormat="0" applyFont="1" applyFill="1" applyBorder="1" applyAlignment="1" applyProtection="0">
      <alignment horizontal="right" vertical="top" wrapText="1"/>
    </xf>
    <xf numFmtId="49" fontId="5" fillId="4" borderId="11" applyNumberFormat="1" applyFont="1" applyFill="1" applyBorder="1" applyAlignment="1" applyProtection="0">
      <alignment horizontal="left" vertical="top" wrapText="1"/>
    </xf>
    <xf numFmtId="49" fontId="8" fillId="4" borderId="11" applyNumberFormat="1" applyFont="1" applyFill="1" applyBorder="1" applyAlignment="1" applyProtection="0">
      <alignment vertical="top"/>
    </xf>
    <xf numFmtId="0" fontId="6" fillId="4" borderId="11" applyNumberFormat="0" applyFont="1" applyFill="1" applyBorder="1" applyAlignment="1" applyProtection="0">
      <alignment vertical="top"/>
    </xf>
    <xf numFmtId="0" fontId="6" fillId="4" borderId="11" applyNumberFormat="0" applyFont="1" applyFill="1" applyBorder="1" applyAlignment="1" applyProtection="0">
      <alignment horizontal="right" vertical="top"/>
    </xf>
    <xf numFmtId="49" fontId="6" fillId="4" borderId="11" applyNumberFormat="1" applyFont="1" applyFill="1" applyBorder="1" applyAlignment="1" applyProtection="0">
      <alignment horizontal="right" vertical="top"/>
    </xf>
    <xf numFmtId="49" fontId="6" fillId="4" borderId="11" applyNumberFormat="1" applyFont="1" applyFill="1" applyBorder="1" applyAlignment="1" applyProtection="0">
      <alignment horizontal="left" vertical="top"/>
    </xf>
    <xf numFmtId="49" fontId="8" fillId="12" borderId="11" applyNumberFormat="1" applyFont="1" applyFill="1" applyBorder="1" applyAlignment="1" applyProtection="0">
      <alignment horizontal="right" vertical="top" wrapText="1"/>
    </xf>
    <xf numFmtId="49" fontId="8" fillId="4" borderId="11" applyNumberFormat="1" applyFont="1" applyFill="1" applyBorder="1" applyAlignment="1" applyProtection="0">
      <alignment horizontal="right" vertical="top" wrapText="1"/>
    </xf>
    <xf numFmtId="3" fontId="6" fillId="4" borderId="11" applyNumberFormat="1" applyFont="1" applyFill="1" applyBorder="1" applyAlignment="1" applyProtection="0">
      <alignment vertical="top"/>
    </xf>
    <xf numFmtId="3" fontId="8" fillId="4" borderId="11" applyNumberFormat="1" applyFont="1" applyFill="1" applyBorder="1" applyAlignment="1" applyProtection="0">
      <alignment vertical="top"/>
    </xf>
    <xf numFmtId="9" fontId="6" fillId="4" borderId="11" applyNumberFormat="1" applyFont="1" applyFill="1" applyBorder="1" applyAlignment="1" applyProtection="0">
      <alignment vertical="top"/>
    </xf>
    <xf numFmtId="0" fontId="8" fillId="12" borderId="11" applyNumberFormat="0" applyFont="1" applyFill="1" applyBorder="1" applyAlignment="1" applyProtection="0">
      <alignment horizontal="left" vertical="top" wrapText="1"/>
    </xf>
    <xf numFmtId="49" fontId="12" fillId="4" borderId="11" applyNumberFormat="1" applyFont="1" applyFill="1" applyBorder="1" applyAlignment="1" applyProtection="0">
      <alignment vertical="top"/>
    </xf>
    <xf numFmtId="49" fontId="8" fillId="4" borderId="11" applyNumberFormat="1" applyFont="1" applyFill="1" applyBorder="1" applyAlignment="1" applyProtection="0">
      <alignment horizontal="center" vertical="top"/>
    </xf>
    <xf numFmtId="0" fontId="9" fillId="4" borderId="11" applyNumberFormat="0" applyFont="1" applyFill="1" applyBorder="1" applyAlignment="1" applyProtection="0">
      <alignment horizontal="center" vertical="top"/>
    </xf>
    <xf numFmtId="49" fontId="9" fillId="4" borderId="11" applyNumberFormat="1" applyFont="1" applyFill="1" applyBorder="1" applyAlignment="1" applyProtection="0">
      <alignment horizontal="center" vertical="top"/>
    </xf>
    <xf numFmtId="0" fontId="9" fillId="4" borderId="11" applyNumberFormat="0" applyFont="1" applyFill="1" applyBorder="1" applyAlignment="1" applyProtection="0">
      <alignment vertical="top"/>
    </xf>
    <xf numFmtId="60" fontId="6" fillId="4" borderId="11" applyNumberFormat="1" applyFont="1" applyFill="1" applyBorder="1" applyAlignment="1" applyProtection="0">
      <alignment vertical="top"/>
    </xf>
    <xf numFmtId="49" fontId="8" fillId="12" borderId="11" applyNumberFormat="1" applyFont="1" applyFill="1" applyBorder="1" applyAlignment="1" applyProtection="0">
      <alignment horizontal="left" vertical="top" wrapText="1"/>
    </xf>
    <xf numFmtId="60" fontId="6" fillId="4" borderId="11" applyNumberFormat="1" applyFont="1" applyFill="1" applyBorder="1" applyAlignment="1" applyProtection="0">
      <alignment horizontal="right" vertical="top"/>
    </xf>
    <xf numFmtId="60" fontId="8" fillId="4" borderId="11" applyNumberFormat="1" applyFont="1" applyFill="1" applyBorder="1" applyAlignment="1" applyProtection="0">
      <alignment vertical="top"/>
    </xf>
    <xf numFmtId="64" fontId="6" fillId="4" borderId="11" applyNumberFormat="1" applyFont="1" applyFill="1" applyBorder="1" applyAlignment="1" applyProtection="0">
      <alignment vertical="top"/>
    </xf>
    <xf numFmtId="65" fontId="6" fillId="4" borderId="11" applyNumberFormat="1" applyFont="1" applyFill="1" applyBorder="1" applyAlignment="1" applyProtection="0">
      <alignment vertical="top"/>
    </xf>
    <xf numFmtId="65" fontId="6" fillId="4" borderId="11" applyNumberFormat="1" applyFont="1" applyFill="1" applyBorder="1" applyAlignment="1" applyProtection="0">
      <alignment horizontal="right" vertical="top"/>
    </xf>
    <xf numFmtId="64" fontId="6" fillId="4" borderId="11" applyNumberFormat="1" applyFont="1" applyFill="1" applyBorder="1" applyAlignment="1" applyProtection="0">
      <alignment horizontal="right" vertical="top"/>
    </xf>
    <xf numFmtId="49" fontId="6" fillId="4" borderId="11" applyNumberFormat="1" applyFont="1" applyFill="1" applyBorder="1" applyAlignment="1" applyProtection="0">
      <alignment vertical="top"/>
    </xf>
    <xf numFmtId="49" fontId="7" fillId="4" borderId="11" applyNumberFormat="1" applyFont="1" applyFill="1" applyBorder="1" applyAlignment="1" applyProtection="0">
      <alignment horizontal="center" vertical="top"/>
    </xf>
    <xf numFmtId="49" fontId="7" fillId="12" borderId="11" applyNumberFormat="1" applyFont="1" applyFill="1" applyBorder="1" applyAlignment="1" applyProtection="0">
      <alignment horizontal="justify" vertical="top" wrapText="1"/>
    </xf>
    <xf numFmtId="49" fontId="8" fillId="13" borderId="11" applyNumberFormat="1" applyFont="1" applyFill="1" applyBorder="1" applyAlignment="1" applyProtection="0">
      <alignment horizontal="left" vertical="top" wrapText="1"/>
    </xf>
    <xf numFmtId="0" fontId="8" fillId="4" borderId="11" applyNumberFormat="0" applyFont="1" applyFill="1" applyBorder="1" applyAlignment="1" applyProtection="0">
      <alignment vertical="top"/>
    </xf>
    <xf numFmtId="10" fontId="8" fillId="4" borderId="11" applyNumberFormat="1" applyFont="1" applyFill="1" applyBorder="1" applyAlignment="1" applyProtection="0">
      <alignment vertical="top"/>
    </xf>
    <xf numFmtId="60" fontId="8" fillId="4" borderId="11" applyNumberFormat="1" applyFont="1" applyFill="1" applyBorder="1" applyAlignment="1" applyProtection="0">
      <alignment horizontal="right" vertical="top"/>
    </xf>
    <xf numFmtId="65" fontId="8" fillId="4" borderId="11" applyNumberFormat="1" applyFont="1" applyFill="1" applyBorder="1" applyAlignment="1" applyProtection="0">
      <alignment horizontal="right" vertical="top"/>
    </xf>
    <xf numFmtId="10" fontId="8" fillId="4" borderId="11" applyNumberFormat="1" applyFont="1" applyFill="1" applyBorder="1" applyAlignment="1" applyProtection="0">
      <alignment horizontal="right" vertical="top"/>
    </xf>
    <xf numFmtId="0" fontId="6" fillId="4" borderId="11" applyNumberFormat="1" applyFont="1" applyFill="1" applyBorder="1" applyAlignment="1" applyProtection="0">
      <alignment horizontal="right" vertical="top"/>
    </xf>
    <xf numFmtId="66" fontId="6" fillId="4" borderId="11" applyNumberFormat="1" applyFont="1" applyFill="1" applyBorder="1" applyAlignment="1" applyProtection="0">
      <alignment horizontal="right" vertical="top"/>
    </xf>
    <xf numFmtId="9" fontId="6" fillId="4" borderId="11" applyNumberFormat="1" applyFont="1" applyFill="1" applyBorder="1" applyAlignment="1" applyProtection="0">
      <alignment horizontal="right" vertical="top"/>
    </xf>
    <xf numFmtId="0" fontId="0" applyNumberFormat="1" applyFont="1" applyFill="0" applyBorder="0" applyAlignment="1" applyProtection="0">
      <alignment vertical="top" wrapText="1"/>
    </xf>
    <xf numFmtId="0" fontId="0" applyNumberFormat="1" applyFont="1" applyFill="0" applyBorder="0" applyAlignment="1" applyProtection="0">
      <alignment vertical="top" wrapText="1"/>
    </xf>
    <xf numFmtId="0" fontId="0" applyNumberFormat="1" applyFont="1" applyFill="0" applyBorder="0" applyAlignment="1" applyProtection="0">
      <alignment vertical="top" wrapText="1"/>
    </xf>
    <xf numFmtId="0" fontId="6" fillId="6" borderId="11" applyNumberFormat="0" applyFont="1" applyFill="1" applyBorder="1" applyAlignment="1" applyProtection="0">
      <alignment horizontal="right" vertical="top"/>
    </xf>
    <xf numFmtId="49" fontId="8" fillId="7" borderId="11" applyNumberFormat="1" applyFont="1" applyFill="1" applyBorder="1" applyAlignment="1" applyProtection="0">
      <alignment horizontal="left" vertical="top" wrapText="1"/>
    </xf>
    <xf numFmtId="60" fontId="6" fillId="7" borderId="11" applyNumberFormat="1" applyFont="1" applyFill="1" applyBorder="1" applyAlignment="1" applyProtection="0">
      <alignment vertical="top"/>
    </xf>
    <xf numFmtId="60" fontId="8" fillId="4" borderId="11" applyNumberFormat="1" applyFont="1" applyFill="1" applyBorder="1" applyAlignment="1" applyProtection="0">
      <alignment horizontal="center" vertical="top"/>
    </xf>
    <xf numFmtId="0" fontId="8" fillId="4" borderId="11" applyNumberFormat="0" applyFont="1" applyFill="1" applyBorder="1" applyAlignment="1" applyProtection="0">
      <alignment horizontal="center" vertical="top"/>
    </xf>
    <xf numFmtId="49" fontId="13" fillId="12" borderId="11" applyNumberFormat="1" applyFont="1" applyFill="1" applyBorder="1" applyAlignment="1" applyProtection="0">
      <alignment horizontal="left" vertical="top" wrapText="1"/>
    </xf>
    <xf numFmtId="60" fontId="8" fillId="6" borderId="11" applyNumberFormat="1" applyFont="1" applyFill="1" applyBorder="1" applyAlignment="1" applyProtection="0">
      <alignment horizontal="right" vertical="top"/>
    </xf>
    <xf numFmtId="0" fontId="0" applyNumberFormat="1" applyFont="1" applyFill="0" applyBorder="0" applyAlignment="1" applyProtection="0">
      <alignment vertical="top" wrapText="1"/>
    </xf>
    <xf numFmtId="0" fontId="8" fillId="2" borderId="3" applyNumberFormat="0" applyFont="1" applyFill="1" applyBorder="1" applyAlignment="1" applyProtection="0">
      <alignment horizontal="right" vertical="top" wrapText="1"/>
    </xf>
    <xf numFmtId="49" fontId="5" fillId="4" borderId="5" applyNumberFormat="1" applyFont="1" applyFill="1" applyBorder="1" applyAlignment="1" applyProtection="0">
      <alignment horizontal="left" vertical="top" wrapText="1"/>
    </xf>
    <xf numFmtId="49" fontId="8" fillId="4" borderId="6" applyNumberFormat="1" applyFont="1" applyFill="1" applyBorder="1" applyAlignment="1" applyProtection="0">
      <alignment vertical="top" wrapText="1"/>
    </xf>
    <xf numFmtId="0" fontId="6" fillId="4" borderId="7" applyNumberFormat="0" applyFont="1" applyFill="1" applyBorder="1" applyAlignment="1" applyProtection="0">
      <alignment horizontal="right" vertical="top" wrapText="1"/>
    </xf>
    <xf numFmtId="49" fontId="6" fillId="4" borderId="7" applyNumberFormat="1" applyFont="1" applyFill="1" applyBorder="1" applyAlignment="1" applyProtection="0">
      <alignment horizontal="right" vertical="top"/>
    </xf>
    <xf numFmtId="49" fontId="6" fillId="4" borderId="7" applyNumberFormat="1" applyFont="1" applyFill="1" applyBorder="1" applyAlignment="1" applyProtection="0">
      <alignment horizontal="left" vertical="top" wrapText="1"/>
    </xf>
    <xf numFmtId="0" fontId="6" fillId="8" borderId="1" applyNumberFormat="0" applyFont="1" applyFill="1" applyBorder="1" applyAlignment="1" applyProtection="0">
      <alignment horizontal="right" vertical="top" wrapText="1"/>
    </xf>
    <xf numFmtId="0" fontId="6" fillId="8" borderId="1" applyNumberFormat="0" applyFont="1" applyFill="1" applyBorder="1" applyAlignment="1" applyProtection="0">
      <alignment horizontal="right" vertical="top"/>
    </xf>
    <xf numFmtId="49" fontId="8" fillId="4" borderId="8" applyNumberFormat="1" applyFont="1" applyFill="1" applyBorder="1" applyAlignment="1" applyProtection="0">
      <alignment horizontal="right" vertical="top" wrapText="1"/>
    </xf>
    <xf numFmtId="3" fontId="0" fillId="4" borderId="9" applyNumberFormat="1" applyFont="1" applyFill="1" applyBorder="1" applyAlignment="1" applyProtection="0">
      <alignment vertical="top"/>
    </xf>
    <xf numFmtId="0" fontId="0" fillId="4" borderId="1" applyNumberFormat="0" applyFont="1" applyFill="1" applyBorder="1" applyAlignment="1" applyProtection="0">
      <alignment vertical="top"/>
    </xf>
    <xf numFmtId="0" fontId="6" fillId="4" borderId="1" applyNumberFormat="0" applyFont="1" applyFill="1" applyBorder="1" applyAlignment="1" applyProtection="0">
      <alignment horizontal="right" vertical="top" wrapText="1"/>
    </xf>
    <xf numFmtId="3" fontId="8" fillId="8" borderId="9" applyNumberFormat="1" applyFont="1" applyFill="1" applyBorder="1" applyAlignment="1" applyProtection="0">
      <alignment vertical="top"/>
    </xf>
    <xf numFmtId="0" fontId="0" fillId="8" borderId="1" applyNumberFormat="0" applyFont="1" applyFill="1" applyBorder="1" applyAlignment="1" applyProtection="0">
      <alignment vertical="top"/>
    </xf>
    <xf numFmtId="9" fontId="0" fillId="8" borderId="1" applyNumberFormat="1" applyFont="1" applyFill="1" applyBorder="1" applyAlignment="1" applyProtection="0">
      <alignment vertical="top"/>
    </xf>
    <xf numFmtId="49" fontId="12" fillId="4" borderId="8" applyNumberFormat="1" applyFont="1" applyFill="1" applyBorder="1" applyAlignment="1" applyProtection="0">
      <alignment vertical="top"/>
    </xf>
    <xf numFmtId="49" fontId="8" fillId="8" borderId="9" applyNumberFormat="1" applyFont="1" applyFill="1" applyBorder="1" applyAlignment="1" applyProtection="0">
      <alignment horizontal="center" vertical="top" wrapText="1"/>
    </xf>
    <xf numFmtId="49" fontId="8" fillId="8" borderId="1" applyNumberFormat="1" applyFont="1" applyFill="1" applyBorder="1" applyAlignment="1" applyProtection="0">
      <alignment vertical="top" wrapText="1"/>
    </xf>
    <xf numFmtId="0" fontId="9" fillId="4" borderId="1" applyNumberFormat="0" applyFont="1" applyFill="1" applyBorder="1" applyAlignment="1" applyProtection="0">
      <alignment vertical="top" wrapText="1"/>
    </xf>
    <xf numFmtId="60" fontId="0" fillId="6" borderId="9" applyNumberFormat="1" applyFont="1" applyFill="1" applyBorder="1" applyAlignment="1" applyProtection="0">
      <alignment vertical="top"/>
    </xf>
    <xf numFmtId="60" fontId="8" fillId="8" borderId="1" applyNumberFormat="1" applyFont="1" applyFill="1" applyBorder="1" applyAlignment="1" applyProtection="0">
      <alignment horizontal="center" vertical="top"/>
    </xf>
    <xf numFmtId="60" fontId="8" fillId="8" borderId="1" applyNumberFormat="1" applyFont="1" applyFill="1" applyBorder="1" applyAlignment="1" applyProtection="0">
      <alignment horizontal="center" vertical="top" wrapText="1"/>
    </xf>
    <xf numFmtId="60" fontId="6" fillId="8" borderId="1" applyNumberFormat="1" applyFont="1" applyFill="1" applyBorder="1" applyAlignment="1" applyProtection="0">
      <alignment horizontal="right" vertical="top" wrapText="1"/>
    </xf>
    <xf numFmtId="60" fontId="8" fillId="4" borderId="9" applyNumberFormat="1" applyFont="1" applyFill="1" applyBorder="1" applyAlignment="1" applyProtection="0">
      <alignment vertical="top"/>
    </xf>
    <xf numFmtId="49" fontId="6" fillId="4" borderId="1" applyNumberFormat="1" applyFont="1" applyFill="1" applyBorder="1" applyAlignment="1" applyProtection="0">
      <alignment horizontal="right" vertical="top" wrapText="1"/>
    </xf>
    <xf numFmtId="64" fontId="0" fillId="8" borderId="1" applyNumberFormat="1" applyFont="1" applyFill="1" applyBorder="1" applyAlignment="1" applyProtection="0">
      <alignment vertical="top" wrapText="1"/>
    </xf>
    <xf numFmtId="65" fontId="0" fillId="8" borderId="1" applyNumberFormat="1" applyFont="1" applyFill="1" applyBorder="1" applyAlignment="1" applyProtection="0">
      <alignment vertical="top" wrapText="1"/>
    </xf>
    <xf numFmtId="65" fontId="6" fillId="8" borderId="1" applyNumberFormat="1" applyFont="1" applyFill="1" applyBorder="1" applyAlignment="1" applyProtection="0">
      <alignment horizontal="right" vertical="top" wrapText="1"/>
    </xf>
    <xf numFmtId="64" fontId="6" fillId="8" borderId="1" applyNumberFormat="1" applyFont="1" applyFill="1" applyBorder="1" applyAlignment="1" applyProtection="0">
      <alignment horizontal="right" vertical="top" wrapText="1"/>
    </xf>
    <xf numFmtId="49" fontId="6" fillId="8" borderId="1" applyNumberFormat="1" applyFont="1" applyFill="1" applyBorder="1" applyAlignment="1" applyProtection="0">
      <alignment horizontal="right" vertical="top" wrapText="1"/>
    </xf>
    <xf numFmtId="65" fontId="0" fillId="4" borderId="1" applyNumberFormat="1" applyFont="1" applyFill="1" applyBorder="1" applyAlignment="1" applyProtection="0">
      <alignment vertical="top"/>
    </xf>
    <xf numFmtId="60" fontId="6" fillId="4" borderId="1" applyNumberFormat="1" applyFont="1" applyFill="1" applyBorder="1" applyAlignment="1" applyProtection="0">
      <alignment horizontal="right" vertical="top" wrapText="1"/>
    </xf>
    <xf numFmtId="65" fontId="6" fillId="4" borderId="1" applyNumberFormat="1" applyFont="1" applyFill="1" applyBorder="1" applyAlignment="1" applyProtection="0">
      <alignment horizontal="right" vertical="top" wrapText="1"/>
    </xf>
    <xf numFmtId="49" fontId="7" fillId="8" borderId="1" applyNumberFormat="1" applyFont="1" applyFill="1" applyBorder="1" applyAlignment="1" applyProtection="0">
      <alignment horizontal="center" vertical="top" wrapText="1"/>
    </xf>
    <xf numFmtId="49" fontId="13" fillId="5" borderId="8" applyNumberFormat="1" applyFont="1" applyFill="1" applyBorder="1" applyAlignment="1" applyProtection="0">
      <alignment horizontal="left" vertical="top" wrapText="1"/>
    </xf>
    <xf numFmtId="60" fontId="0" fillId="4" borderId="9" applyNumberFormat="1" applyFont="1" applyFill="1" applyBorder="1" applyAlignment="1" applyProtection="0">
      <alignment vertical="top"/>
    </xf>
    <xf numFmtId="49" fontId="0" fillId="4" borderId="1" applyNumberFormat="1" applyFont="1" applyFill="1" applyBorder="1" applyAlignment="1" applyProtection="0">
      <alignment vertical="top"/>
    </xf>
    <xf numFmtId="60" fontId="6" fillId="4" borderId="1" applyNumberFormat="1" applyFont="1" applyFill="1" applyBorder="1" applyAlignment="1" applyProtection="0">
      <alignment horizontal="right" vertical="top"/>
    </xf>
    <xf numFmtId="65" fontId="6" fillId="4" borderId="1" applyNumberFormat="1" applyFont="1" applyFill="1" applyBorder="1" applyAlignment="1" applyProtection="0">
      <alignment horizontal="right" vertical="top"/>
    </xf>
    <xf numFmtId="65" fontId="0" fillId="8" borderId="1" applyNumberFormat="1" applyFont="1" applyFill="1" applyBorder="1" applyAlignment="1" applyProtection="0">
      <alignment vertical="top"/>
    </xf>
    <xf numFmtId="65" fontId="0" fillId="4" borderId="1" applyNumberFormat="1" applyFont="1" applyFill="1" applyBorder="1" applyAlignment="1" applyProtection="0">
      <alignment vertical="top" wrapText="1"/>
    </xf>
    <xf numFmtId="49" fontId="4" fillId="5" borderId="12" applyNumberFormat="1" applyFont="1" applyFill="1" applyBorder="1" applyAlignment="1" applyProtection="0">
      <alignment vertical="top" wrapText="1"/>
    </xf>
    <xf numFmtId="49" fontId="8" fillId="12" borderId="13" applyNumberFormat="1" applyFont="1" applyFill="1" applyBorder="1" applyAlignment="1" applyProtection="0">
      <alignment horizontal="left" vertical="top" wrapText="1"/>
    </xf>
    <xf numFmtId="49" fontId="7" fillId="12" borderId="13" applyNumberFormat="1" applyFont="1" applyFill="1" applyBorder="1" applyAlignment="1" applyProtection="0">
      <alignment horizontal="justify" vertical="top" wrapText="1"/>
    </xf>
    <xf numFmtId="0" fontId="8" fillId="12" borderId="13" applyNumberFormat="0" applyFont="1" applyFill="1" applyBorder="1" applyAlignment="1" applyProtection="0">
      <alignment horizontal="left" vertical="top" wrapText="1"/>
    </xf>
    <xf numFmtId="49" fontId="8" fillId="13" borderId="14" applyNumberFormat="1" applyFont="1" applyFill="1" applyBorder="1" applyAlignment="1" applyProtection="0">
      <alignment horizontal="left" vertical="top" wrapText="1"/>
    </xf>
    <xf numFmtId="0" fontId="8" fillId="4" borderId="1" applyNumberFormat="0" applyFont="1" applyFill="1" applyBorder="1" applyAlignment="1" applyProtection="0">
      <alignment vertical="top"/>
    </xf>
    <xf numFmtId="60" fontId="8" fillId="4" borderId="1" applyNumberFormat="1" applyFont="1" applyFill="1" applyBorder="1" applyAlignment="1" applyProtection="0">
      <alignment horizontal="right" vertical="top"/>
    </xf>
    <xf numFmtId="65" fontId="8" fillId="4" borderId="1" applyNumberFormat="1" applyFont="1" applyFill="1" applyBorder="1" applyAlignment="1" applyProtection="0">
      <alignment horizontal="right" vertical="top"/>
    </xf>
    <xf numFmtId="60" fontId="8" fillId="4" borderId="1" applyNumberFormat="1" applyFont="1" applyFill="1" applyBorder="1" applyAlignment="1" applyProtection="0">
      <alignment horizontal="right" vertical="top" wrapText="1"/>
    </xf>
    <xf numFmtId="60" fontId="8" fillId="6" borderId="1" applyNumberFormat="1" applyFont="1" applyFill="1" applyBorder="1" applyAlignment="1" applyProtection="0">
      <alignment horizontal="right" vertical="top"/>
    </xf>
    <xf numFmtId="0" fontId="0" applyNumberFormat="1" applyFont="1" applyFill="0" applyBorder="0" applyAlignment="1" applyProtection="0">
      <alignment vertical="top" wrapText="1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bdc0bf"/>
      <rgbColor rgb="ffa5a5a5"/>
      <rgbColor rgb="fff6e382"/>
      <rgbColor rgb="ffffffff"/>
      <rgbColor rgb="ffaaaaaa"/>
      <rgbColor rgb="ff3f3f3f"/>
      <rgbColor rgb="ffdbdbdb"/>
      <rgbColor rgb="ff9ce159"/>
      <rgbColor rgb="ffffe061"/>
      <rgbColor rgb="fff4f4f4"/>
      <rgbColor rgb="ffdddddd"/>
      <rgbColor rgb="ffffc071"/>
      <rgbColor rgb="ff63b2de"/>
      <rgbColor rgb="ff000099"/>
      <rgbColor rgb="ffeaeaea"/>
      <rgbColor rgb="ffd6d6d6"/>
      <rgbColor rgb="ff659c34"/>
      <rgbColor rgb="ffededed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/Relationships>

</file>

<file path=xl/theme/theme1.xml><?xml version="1.0" encoding="utf-8"?>
<a:theme xmlns:a="http://schemas.openxmlformats.org/drawingml/2006/main" xmlns:r="http://schemas.openxmlformats.org/officeDocument/2006/relationships" name="Blank">
  <a:themeElements>
    <a:clrScheme name="Blank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sx="100000" sy="100000" kx="0" ky="0" algn="b" rotWithShape="0" blurRad="38100" dist="25400" dir="5400000">
              <a:srgbClr val="000000">
                <a:alpha val="50000"/>
              </a:srgbClr>
            </a:outerShdw>
          </a:effectLst>
        </a:effectStyle>
        <a:effectStyle>
          <a:effectLst>
            <a:outerShdw sx="100000" sy="100000" kx="0" ky="0" algn="b" rotWithShape="0" blurRad="38100" dist="25400" dir="5400000">
              <a:srgbClr val="000000">
                <a:alpha val="50000"/>
              </a:srgbClr>
            </a:outerShdw>
          </a:effectLst>
        </a:effectStyle>
        <a:effectStyle>
          <a:effectLst>
            <a:outerShdw sx="100000" sy="100000" kx="0" ky="0" algn="b" rotWithShape="0" blurRad="38100" dist="25400" dir="5400000">
              <a:srgbClr val="000000">
                <a:alpha val="5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sx="100000" sy="100000" kx="0" ky="0" algn="b" rotWithShape="0" blurRad="38100" dist="25400" dir="540000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50800" tIns="50800" rIns="50800" bIns="50800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Helvetica"/>
            <a:ea typeface="Helvetica"/>
            <a:cs typeface="Helvetica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sx="100000" sy="100000" kx="0" ky="0" algn="b" rotWithShape="0" blurRad="38100" dist="25400" dir="540000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Helvetica"/>
            <a:ea typeface="Helvetica"/>
            <a:cs typeface="Helvetica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3.xml.rels><?xml version="1.0" encoding="UTF-8"?>
<Relationships xmlns="http://schemas.openxmlformats.org/package/2006/relationships"><Relationship Id="rId1" Type="http://schemas.openxmlformats.org/officeDocument/2006/relationships/hyperlink" Target="http://calculator.net/" TargetMode="External"/><Relationship Id="rId2" Type="http://schemas.openxmlformats.org/officeDocument/2006/relationships/hyperlink" Target="http://calculator.net/" TargetMode="External"/></Relationships>
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dimension ref="A1:E52"/>
  <sheetViews>
    <sheetView workbookViewId="0" showGridLines="0" defaultGridColor="1"/>
  </sheetViews>
  <sheetFormatPr defaultColWidth="16.3333" defaultRowHeight="18" customHeight="1" outlineLevelRow="0" outlineLevelCol="0"/>
  <cols>
    <col min="1" max="1" width="24.1719" style="1" customWidth="1"/>
    <col min="2" max="2" width="12.1719" style="1" customWidth="1"/>
    <col min="3" max="3" width="8.67188" style="1" customWidth="1"/>
    <col min="4" max="4" width="58.1719" style="1" customWidth="1"/>
    <col min="5" max="5" width="16.3516" style="1" customWidth="1"/>
    <col min="6" max="16384" width="16.3516" style="1" customWidth="1"/>
  </cols>
  <sheetData>
    <row r="1" ht="31" customHeight="1">
      <c r="A1" t="s" s="2">
        <v>0</v>
      </c>
      <c r="B1" s="3"/>
      <c r="C1" s="4"/>
      <c r="D1" t="s" s="5">
        <v>1</v>
      </c>
      <c r="E1" s="6"/>
    </row>
    <row r="2" ht="20.5" customHeight="1">
      <c r="A2" t="s" s="7">
        <v>2</v>
      </c>
      <c r="B2" s="8"/>
      <c r="C2" s="8"/>
      <c r="D2" s="8"/>
      <c r="E2" s="9"/>
    </row>
    <row r="3" ht="20.5" customHeight="1">
      <c r="A3" s="10"/>
      <c r="B3" s="11"/>
      <c r="C3" s="12"/>
      <c r="D3" s="12"/>
      <c r="E3" s="9"/>
    </row>
    <row r="4" ht="20.25" customHeight="1">
      <c r="A4" t="s" s="13">
        <v>3</v>
      </c>
      <c r="B4" s="14">
        <v>48</v>
      </c>
      <c r="C4" s="15"/>
      <c r="D4" t="s" s="16">
        <v>4</v>
      </c>
      <c r="E4" s="9"/>
    </row>
    <row r="5" ht="20.25" customHeight="1">
      <c r="A5" s="17"/>
      <c r="B5" s="14">
        <v>7</v>
      </c>
      <c r="C5" s="18"/>
      <c r="D5" t="s" s="19">
        <v>5</v>
      </c>
      <c r="E5" s="9"/>
    </row>
    <row r="6" ht="20.25" customHeight="1">
      <c r="A6" s="17"/>
      <c r="B6" s="14">
        <v>7</v>
      </c>
      <c r="C6" s="15"/>
      <c r="D6" t="s" s="16">
        <v>6</v>
      </c>
      <c r="E6" s="9"/>
    </row>
    <row r="7" ht="20.25" customHeight="1">
      <c r="A7" s="17"/>
      <c r="B7" s="14">
        <f>SUM(B4:B6)</f>
        <v>62</v>
      </c>
      <c r="C7" s="18"/>
      <c r="D7" t="s" s="19">
        <v>7</v>
      </c>
      <c r="E7" s="9"/>
    </row>
    <row r="8" ht="20.25" customHeight="1">
      <c r="A8" s="17"/>
      <c r="B8" s="20"/>
      <c r="C8" s="15"/>
      <c r="D8" s="15"/>
      <c r="E8" s="9"/>
    </row>
    <row r="9" ht="20.25" customHeight="1">
      <c r="A9" t="s" s="21">
        <v>8</v>
      </c>
      <c r="B9" s="22"/>
      <c r="C9" s="18"/>
      <c r="D9" t="s" s="23">
        <v>9</v>
      </c>
      <c r="E9" s="9"/>
    </row>
    <row r="10" ht="20.25" customHeight="1">
      <c r="A10" t="s" s="24">
        <v>10</v>
      </c>
      <c r="B10" s="25">
        <v>31200</v>
      </c>
      <c r="C10" s="15"/>
      <c r="D10" t="s" s="16">
        <v>11</v>
      </c>
      <c r="E10" s="9"/>
    </row>
    <row r="11" ht="20.25" customHeight="1">
      <c r="A11" t="s" s="24">
        <v>12</v>
      </c>
      <c r="B11" s="25">
        <v>15</v>
      </c>
      <c r="C11" s="18"/>
      <c r="D11" t="s" s="19">
        <v>13</v>
      </c>
      <c r="E11" s="9"/>
    </row>
    <row r="12" ht="20.25" customHeight="1">
      <c r="A12" s="17"/>
      <c r="B12" s="25">
        <f>(B11*B7*1.5)*52</f>
        <v>72540</v>
      </c>
      <c r="C12" s="15"/>
      <c r="D12" t="s" s="16">
        <v>14</v>
      </c>
      <c r="E12" s="9"/>
    </row>
    <row r="13" ht="32.25" customHeight="1">
      <c r="A13" t="s" s="24">
        <v>15</v>
      </c>
      <c r="B13" s="26">
        <f>(B10+B12)</f>
        <v>103740</v>
      </c>
      <c r="C13" s="18"/>
      <c r="D13" t="s" s="19">
        <v>16</v>
      </c>
      <c r="E13" s="9"/>
    </row>
    <row r="14" ht="20.25" customHeight="1">
      <c r="A14" t="s" s="24">
        <v>17</v>
      </c>
      <c r="B14" s="27"/>
      <c r="C14" s="15"/>
      <c r="D14" t="s" s="16">
        <v>18</v>
      </c>
      <c r="E14" s="9"/>
    </row>
    <row r="15" ht="20.25" customHeight="1">
      <c r="A15" s="17"/>
      <c r="B15" s="27"/>
      <c r="C15" s="15"/>
      <c r="D15" s="15"/>
      <c r="E15" s="9"/>
    </row>
    <row r="16" ht="20.25" customHeight="1">
      <c r="A16" t="s" s="28">
        <v>19</v>
      </c>
      <c r="B16" s="29"/>
      <c r="C16" s="18"/>
      <c r="D16" s="18"/>
      <c r="E16" s="9"/>
    </row>
    <row r="17" ht="20.25" customHeight="1">
      <c r="A17" t="s" s="24">
        <v>20</v>
      </c>
      <c r="B17" s="30">
        <v>1400</v>
      </c>
      <c r="C17" s="15"/>
      <c r="D17" t="s" s="16">
        <v>21</v>
      </c>
      <c r="E17" s="9"/>
    </row>
    <row r="18" ht="20.25" customHeight="1">
      <c r="A18" t="s" s="24">
        <v>22</v>
      </c>
      <c r="B18" s="31">
        <v>0.1</v>
      </c>
      <c r="C18" s="18"/>
      <c r="D18" s="18"/>
      <c r="E18" s="9"/>
    </row>
    <row r="19" ht="20.25" customHeight="1">
      <c r="A19" t="s" s="24">
        <v>23</v>
      </c>
      <c r="B19" s="30">
        <f>(B17*B18)</f>
        <v>140</v>
      </c>
      <c r="C19" s="15"/>
      <c r="D19" t="s" s="16">
        <v>24</v>
      </c>
      <c r="E19" s="9"/>
    </row>
    <row r="20" ht="20.25" customHeight="1">
      <c r="A20" t="s" s="32">
        <v>25</v>
      </c>
      <c r="B20" s="33">
        <f>(B17-B19)</f>
        <v>1260</v>
      </c>
      <c r="C20" s="18"/>
      <c r="D20" t="s" s="19">
        <v>26</v>
      </c>
      <c r="E20" s="9"/>
    </row>
    <row r="21" ht="20.25" customHeight="1">
      <c r="A21" s="17"/>
      <c r="B21" s="27"/>
      <c r="C21" s="15"/>
      <c r="D21" s="15"/>
      <c r="E21" s="9"/>
    </row>
    <row r="22" ht="20.25" customHeight="1">
      <c r="A22" t="s" s="24">
        <v>27</v>
      </c>
      <c r="B22" s="25">
        <v>35000</v>
      </c>
      <c r="C22" s="18"/>
      <c r="D22" t="s" s="19">
        <v>2</v>
      </c>
      <c r="E22" s="9"/>
    </row>
    <row r="23" ht="20.25" customHeight="1">
      <c r="A23" t="s" s="24">
        <v>28</v>
      </c>
      <c r="B23" s="27">
        <f>(B22/12)</f>
        <v>2916.666666666670</v>
      </c>
      <c r="C23" s="15"/>
      <c r="D23" s="15"/>
      <c r="E23" s="9"/>
    </row>
    <row r="24" ht="20.25" customHeight="1">
      <c r="A24" t="s" s="24">
        <v>29</v>
      </c>
      <c r="B24" s="25">
        <v>0</v>
      </c>
      <c r="C24" s="18"/>
      <c r="D24" t="s" s="19">
        <v>30</v>
      </c>
      <c r="E24" s="9"/>
    </row>
    <row r="25" ht="20.25" customHeight="1">
      <c r="A25" t="s" s="32">
        <v>31</v>
      </c>
      <c r="B25" s="27">
        <f>(B23+B24)</f>
        <v>2916.666666666670</v>
      </c>
      <c r="C25" s="15"/>
      <c r="D25" s="15"/>
      <c r="E25" s="9"/>
    </row>
    <row r="26" ht="20.25" customHeight="1">
      <c r="A26" t="s" s="24">
        <v>32</v>
      </c>
      <c r="B26" s="29">
        <f>(B25*12)</f>
        <v>35000</v>
      </c>
      <c r="C26" s="18"/>
      <c r="D26" s="18"/>
      <c r="E26" s="9"/>
    </row>
    <row r="27" ht="20.25" customHeight="1">
      <c r="A27" t="s" s="24">
        <v>33</v>
      </c>
      <c r="B27" s="34">
        <f>(B23*12/B17)</f>
        <v>25</v>
      </c>
      <c r="C27" s="15"/>
      <c r="D27" s="15"/>
      <c r="E27" s="9"/>
    </row>
    <row r="28" ht="20.25" customHeight="1">
      <c r="A28" s="17"/>
      <c r="B28" s="29"/>
      <c r="C28" s="18"/>
      <c r="D28" s="18"/>
      <c r="E28" s="9"/>
    </row>
    <row r="29" ht="20.25" customHeight="1">
      <c r="A29" t="s" s="35">
        <v>34</v>
      </c>
      <c r="B29" s="27"/>
      <c r="C29" s="15"/>
      <c r="D29" t="s" s="16">
        <v>35</v>
      </c>
      <c r="E29" s="9"/>
    </row>
    <row r="30" ht="20.25" customHeight="1">
      <c r="A30" t="s" s="36">
        <v>36</v>
      </c>
      <c r="B30" s="29"/>
      <c r="C30" s="18"/>
      <c r="D30" s="18"/>
      <c r="E30" s="9"/>
    </row>
    <row r="31" ht="20.25" customHeight="1">
      <c r="A31" s="17"/>
      <c r="B31" s="27">
        <f>'Start-up Investment'!E14</f>
        <v>94500</v>
      </c>
      <c r="C31" s="15"/>
      <c r="D31" t="s" s="16">
        <v>37</v>
      </c>
      <c r="E31" s="9"/>
    </row>
    <row r="32" ht="20.25" customHeight="1">
      <c r="A32" s="17"/>
      <c r="B32" s="29">
        <f>(B31/0.58)</f>
        <v>162931.034482759</v>
      </c>
      <c r="C32" s="18"/>
      <c r="D32" t="s" s="19">
        <v>38</v>
      </c>
      <c r="E32" s="9"/>
    </row>
    <row r="33" ht="10.25" customHeight="1">
      <c r="A33" t="s" s="24">
        <v>2</v>
      </c>
      <c r="B33" s="27"/>
      <c r="C33" s="15"/>
      <c r="D33" s="15"/>
      <c r="E33" s="9"/>
    </row>
    <row r="34" ht="20.25" customHeight="1">
      <c r="A34" t="s" s="24">
        <v>39</v>
      </c>
      <c r="B34" s="29">
        <f>(B32*2)</f>
        <v>325862.068965518</v>
      </c>
      <c r="C34" s="18"/>
      <c r="D34" t="s" s="19">
        <v>40</v>
      </c>
      <c r="E34" s="9"/>
    </row>
    <row r="35" ht="20.25" customHeight="1">
      <c r="A35" t="s" s="24">
        <v>41</v>
      </c>
      <c r="B35" s="27">
        <f>(B32*2.5)</f>
        <v>407327.586206898</v>
      </c>
      <c r="C35" s="15"/>
      <c r="D35" t="s" s="16">
        <v>42</v>
      </c>
      <c r="E35" s="9"/>
    </row>
    <row r="36" ht="20.25" customHeight="1">
      <c r="A36" t="s" s="24">
        <v>43</v>
      </c>
      <c r="B36" s="29">
        <f>(B32*3)</f>
        <v>488793.103448277</v>
      </c>
      <c r="C36" s="18"/>
      <c r="D36" t="s" s="19">
        <v>44</v>
      </c>
      <c r="E36" s="9"/>
    </row>
    <row r="37" ht="20.25" customHeight="1">
      <c r="A37" s="17"/>
      <c r="B37" s="20"/>
      <c r="C37" s="15"/>
      <c r="D37" s="15"/>
      <c r="E37" s="9"/>
    </row>
    <row r="38" ht="32.25" customHeight="1">
      <c r="A38" t="s" s="36">
        <v>45</v>
      </c>
      <c r="B38" t="s" s="37">
        <v>46</v>
      </c>
      <c r="C38" s="18"/>
      <c r="D38" t="s" s="19">
        <v>47</v>
      </c>
      <c r="E38" s="9"/>
    </row>
    <row r="39" ht="20.25" customHeight="1">
      <c r="A39" t="s" s="24">
        <v>39</v>
      </c>
      <c r="B39" s="38">
        <f>(B20*C39)</f>
        <v>346500</v>
      </c>
      <c r="C39" s="39">
        <v>275</v>
      </c>
      <c r="D39" t="s" s="16">
        <v>48</v>
      </c>
      <c r="E39" s="9"/>
    </row>
    <row r="40" ht="20.25" customHeight="1">
      <c r="A40" t="s" s="24">
        <v>41</v>
      </c>
      <c r="B40" s="29">
        <f>(B20*C40)</f>
        <v>409500</v>
      </c>
      <c r="C40" s="39">
        <v>325</v>
      </c>
      <c r="D40" t="s" s="19">
        <v>49</v>
      </c>
      <c r="E40" s="9"/>
    </row>
    <row r="41" ht="20.25" customHeight="1">
      <c r="A41" t="s" s="24">
        <v>43</v>
      </c>
      <c r="B41" s="27">
        <f>(B20*C41)</f>
        <v>418320</v>
      </c>
      <c r="C41" s="39">
        <v>332</v>
      </c>
      <c r="D41" t="s" s="16">
        <v>50</v>
      </c>
      <c r="E41" s="9"/>
    </row>
    <row r="42" ht="20.25" customHeight="1">
      <c r="A42" t="s" s="24">
        <v>51</v>
      </c>
      <c r="B42" s="29">
        <f>(B20*C42)</f>
        <v>535500</v>
      </c>
      <c r="C42" s="39">
        <v>425</v>
      </c>
      <c r="D42" t="s" s="19">
        <v>52</v>
      </c>
      <c r="E42" s="9"/>
    </row>
    <row r="43" ht="20.25" customHeight="1">
      <c r="A43" s="17"/>
      <c r="B43" s="27"/>
      <c r="C43" s="40"/>
      <c r="D43" s="15"/>
      <c r="E43" s="9"/>
    </row>
    <row r="44" ht="20.25" customHeight="1">
      <c r="A44" t="s" s="13">
        <v>53</v>
      </c>
      <c r="B44" s="29"/>
      <c r="C44" s="41"/>
      <c r="D44" s="18"/>
      <c r="E44" s="9"/>
    </row>
    <row r="45" ht="20.25" customHeight="1">
      <c r="A45" t="s" s="24">
        <v>43</v>
      </c>
      <c r="B45" s="27"/>
      <c r="C45" s="42">
        <v>0.533</v>
      </c>
      <c r="D45" t="s" s="16">
        <v>54</v>
      </c>
      <c r="E45" s="9"/>
    </row>
    <row r="46" ht="20.25" customHeight="1">
      <c r="A46" t="s" s="24">
        <v>41</v>
      </c>
      <c r="B46" s="29"/>
      <c r="C46" s="42">
        <v>0.57</v>
      </c>
      <c r="D46" t="s" s="19">
        <v>55</v>
      </c>
      <c r="E46" s="9"/>
    </row>
    <row r="47" ht="20.25" customHeight="1">
      <c r="A47" t="s" s="24">
        <v>56</v>
      </c>
      <c r="B47" s="27"/>
      <c r="C47" s="42">
        <v>0.58</v>
      </c>
      <c r="D47" t="s" s="16">
        <v>57</v>
      </c>
      <c r="E47" s="9"/>
    </row>
    <row r="48" ht="20.25" customHeight="1">
      <c r="A48" s="17"/>
      <c r="B48" s="29"/>
      <c r="C48" s="43"/>
      <c r="D48" s="18"/>
      <c r="E48" s="9"/>
    </row>
    <row r="49" ht="20.25" customHeight="1">
      <c r="A49" t="s" s="28">
        <v>58</v>
      </c>
      <c r="B49" s="27"/>
      <c r="C49" s="44"/>
      <c r="D49" s="15"/>
      <c r="E49" s="9"/>
    </row>
    <row r="50" ht="20.25" customHeight="1">
      <c r="A50" t="s" s="24">
        <v>43</v>
      </c>
      <c r="B50" s="29"/>
      <c r="C50" s="42">
        <v>0.01</v>
      </c>
      <c r="D50" t="s" s="19">
        <v>59</v>
      </c>
      <c r="E50" s="9"/>
    </row>
    <row r="51" ht="20.25" customHeight="1">
      <c r="A51" t="s" s="24">
        <v>41</v>
      </c>
      <c r="B51" s="27"/>
      <c r="C51" s="42">
        <v>0.02</v>
      </c>
      <c r="D51" s="15"/>
      <c r="E51" s="9"/>
    </row>
    <row r="52" ht="20.25" customHeight="1">
      <c r="A52" t="s" s="24">
        <v>56</v>
      </c>
      <c r="B52" s="29"/>
      <c r="C52" s="42">
        <v>0.03</v>
      </c>
      <c r="D52" t="s" s="19">
        <v>60</v>
      </c>
      <c r="E52" s="45"/>
    </row>
  </sheetData>
  <pageMargins left="0.5" right="0.5" top="0.5" bottom="0.5" header="0.277778" footer="0.277778"/>
  <pageSetup firstPageNumber="1" fitToHeight="1" fitToWidth="1" scale="67" useFirstPageNumber="0" orientation="portrait" pageOrder="downThenOver"/>
  <headerFooter>
    <oddFooter>&amp;C&amp;"Helvetica Neue,Regular"&amp;12&amp;K000000&amp;P</oddFooter>
  </headerFooter>
</worksheet>
</file>

<file path=xl/worksheets/sheet10.xml><?xml version="1.0" encoding="utf-8"?>
<worksheet xmlns:r="http://schemas.openxmlformats.org/officeDocument/2006/relationships" xmlns="http://schemas.openxmlformats.org/spreadsheetml/2006/main">
  <dimension ref="A1:S44"/>
  <sheetViews>
    <sheetView workbookViewId="0" showGridLines="0" defaultGridColor="1"/>
  </sheetViews>
  <sheetFormatPr defaultColWidth="16.3333" defaultRowHeight="18" customHeight="1" outlineLevelRow="0" outlineLevelCol="0"/>
  <cols>
    <col min="1" max="1" width="23.3516" style="241" customWidth="1"/>
    <col min="2" max="2" width="12" style="241" customWidth="1"/>
    <col min="3" max="3" width="3.85156" style="241" customWidth="1"/>
    <col min="4" max="4" width="10.5" style="241" customWidth="1"/>
    <col min="5" max="5" width="3.67188" style="241" customWidth="1"/>
    <col min="6" max="6" width="10.1719" style="241" customWidth="1"/>
    <col min="7" max="7" width="10.5" style="241" customWidth="1"/>
    <col min="8" max="8" width="10.8516" style="241" customWidth="1"/>
    <col min="9" max="9" width="10.6719" style="241" customWidth="1"/>
    <col min="10" max="10" width="10.1719" style="241" customWidth="1"/>
    <col min="11" max="11" width="11.1719" style="241" customWidth="1"/>
    <col min="12" max="12" width="11.8516" style="241" customWidth="1"/>
    <col min="13" max="13" width="11.3516" style="241" customWidth="1"/>
    <col min="14" max="14" width="11" style="241" customWidth="1"/>
    <col min="15" max="15" width="12" style="241" customWidth="1"/>
    <col min="16" max="16" width="11.1719" style="241" customWidth="1"/>
    <col min="17" max="17" width="11.5" style="241" customWidth="1"/>
    <col min="18" max="18" width="9.85156" style="241" customWidth="1"/>
    <col min="19" max="19" width="7.35156" style="241" customWidth="1"/>
    <col min="20" max="16384" width="16.3516" style="241" customWidth="1"/>
  </cols>
  <sheetData>
    <row r="1" ht="23.25" customHeight="1">
      <c r="A1" t="s" s="105">
        <v>231</v>
      </c>
      <c r="B1" s="8"/>
      <c r="C1" s="8"/>
      <c r="D1" s="8"/>
      <c r="E1" s="8"/>
      <c r="F1" s="190"/>
      <c r="G1" s="190"/>
      <c r="H1" s="190"/>
      <c r="I1" s="190"/>
      <c r="J1" s="190"/>
      <c r="K1" s="190"/>
      <c r="L1" s="190"/>
      <c r="M1" s="190"/>
      <c r="N1" s="190"/>
      <c r="O1" s="190"/>
      <c r="P1" s="190"/>
      <c r="Q1" s="190"/>
      <c r="R1" s="190"/>
      <c r="S1" s="190"/>
    </row>
    <row r="2" ht="20.5" customHeight="1">
      <c r="A2" t="s" s="191">
        <v>229</v>
      </c>
      <c r="B2" t="s" s="192">
        <v>2</v>
      </c>
      <c r="C2" s="12"/>
      <c r="D2" s="12"/>
      <c r="E2" s="12"/>
      <c r="F2" s="193"/>
      <c r="G2" s="193"/>
      <c r="H2" t="s" s="194">
        <v>2</v>
      </c>
      <c r="I2" t="s" s="195">
        <v>2</v>
      </c>
      <c r="J2" s="193"/>
      <c r="K2" s="193"/>
      <c r="L2" s="193"/>
      <c r="M2" s="193"/>
      <c r="N2" s="193"/>
      <c r="O2" s="193"/>
      <c r="P2" s="193"/>
      <c r="Q2" s="193"/>
      <c r="R2" s="193"/>
      <c r="S2" s="193"/>
    </row>
    <row r="3" ht="20.25" customHeight="1">
      <c r="A3" t="s" s="111">
        <v>2</v>
      </c>
      <c r="B3" s="20"/>
      <c r="C3" s="15"/>
      <c r="D3" s="15"/>
      <c r="E3" s="15"/>
      <c r="F3" s="196"/>
      <c r="G3" s="196"/>
      <c r="H3" s="197"/>
      <c r="I3" t="s" s="114">
        <v>2</v>
      </c>
      <c r="J3" s="196"/>
      <c r="K3" s="196"/>
      <c r="L3" s="196"/>
      <c r="M3" s="196"/>
      <c r="N3" s="196"/>
      <c r="O3" s="196"/>
      <c r="P3" s="196"/>
      <c r="Q3" s="196"/>
      <c r="R3" s="196"/>
      <c r="S3" s="196"/>
    </row>
    <row r="4" ht="20.25" customHeight="1">
      <c r="A4" t="s" s="198">
        <v>187</v>
      </c>
      <c r="B4" s="199">
        <f>'Assumptions'!B17</f>
        <v>1400</v>
      </c>
      <c r="C4" s="200"/>
      <c r="D4" s="200"/>
      <c r="E4" s="18"/>
      <c r="F4" s="201"/>
      <c r="G4" s="201"/>
      <c r="H4" s="18"/>
      <c r="I4" s="18"/>
      <c r="J4" s="201"/>
      <c r="K4" s="201"/>
      <c r="L4" s="201"/>
      <c r="M4" s="201"/>
      <c r="N4" s="201"/>
      <c r="O4" s="201"/>
      <c r="P4" s="201"/>
      <c r="Q4" s="201"/>
      <c r="R4" s="201"/>
      <c r="S4" s="201"/>
    </row>
    <row r="5" ht="20.25" customHeight="1">
      <c r="A5" t="s" s="198">
        <v>188</v>
      </c>
      <c r="B5" s="202">
        <f>'Assumptions'!B20</f>
        <v>1260</v>
      </c>
      <c r="C5" s="203"/>
      <c r="D5" s="204">
        <v>1</v>
      </c>
      <c r="E5" s="15"/>
      <c r="F5" s="196"/>
      <c r="G5" s="196"/>
      <c r="H5" s="196"/>
      <c r="I5" s="196"/>
      <c r="J5" s="196"/>
      <c r="K5" s="196"/>
      <c r="L5" s="196"/>
      <c r="M5" s="196"/>
      <c r="N5" s="196"/>
      <c r="O5" s="196"/>
      <c r="P5" s="196"/>
      <c r="Q5" s="196"/>
      <c r="R5" s="196"/>
      <c r="S5" s="196"/>
    </row>
    <row r="6" ht="20.25" customHeight="1">
      <c r="A6" s="17"/>
      <c r="B6" s="115"/>
      <c r="C6" s="18"/>
      <c r="D6" s="18"/>
      <c r="E6" s="18"/>
      <c r="F6" s="201"/>
      <c r="G6" s="201"/>
      <c r="H6" s="201"/>
      <c r="I6" s="201"/>
      <c r="J6" s="201"/>
      <c r="K6" s="201"/>
      <c r="L6" s="201"/>
      <c r="M6" s="201"/>
      <c r="N6" s="201"/>
      <c r="O6" s="201"/>
      <c r="P6" s="201"/>
      <c r="Q6" s="201"/>
      <c r="R6" s="201"/>
      <c r="S6" s="18"/>
    </row>
    <row r="7" ht="20.25" customHeight="1">
      <c r="A7" t="s" s="205">
        <v>2</v>
      </c>
      <c r="B7" t="s" s="206">
        <v>2</v>
      </c>
      <c r="C7" s="15"/>
      <c r="D7" t="s" s="207">
        <v>189</v>
      </c>
      <c r="E7" s="15"/>
      <c r="F7" t="s" s="62">
        <v>190</v>
      </c>
      <c r="G7" t="s" s="62">
        <v>191</v>
      </c>
      <c r="H7" t="s" s="62">
        <v>192</v>
      </c>
      <c r="I7" t="s" s="62">
        <v>193</v>
      </c>
      <c r="J7" t="s" s="62">
        <v>194</v>
      </c>
      <c r="K7" t="s" s="62">
        <v>195</v>
      </c>
      <c r="L7" t="s" s="62">
        <v>196</v>
      </c>
      <c r="M7" t="s" s="62">
        <v>197</v>
      </c>
      <c r="N7" t="s" s="62">
        <v>198</v>
      </c>
      <c r="O7" t="s" s="62">
        <v>199</v>
      </c>
      <c r="P7" t="s" s="62">
        <v>200</v>
      </c>
      <c r="Q7" t="s" s="62">
        <v>201</v>
      </c>
      <c r="R7" t="s" s="62">
        <v>182</v>
      </c>
      <c r="S7" t="s" s="62">
        <v>202</v>
      </c>
    </row>
    <row r="8" ht="20.25" customHeight="1">
      <c r="A8" s="17"/>
      <c r="B8" s="58"/>
      <c r="C8" s="18"/>
      <c r="D8" t="s" s="59">
        <v>203</v>
      </c>
      <c r="E8" s="208"/>
      <c r="F8" t="s" s="60">
        <v>2</v>
      </c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t="s" s="60">
        <v>2</v>
      </c>
      <c r="S8" t="s" s="59">
        <v>204</v>
      </c>
    </row>
    <row r="9" ht="20.25" customHeight="1">
      <c r="A9" t="s" s="13">
        <v>233</v>
      </c>
      <c r="B9" s="209">
        <f>'Cash Flow Year 2'!Q43</f>
        <v>-9238.6886000002</v>
      </c>
      <c r="C9" s="15"/>
      <c r="D9" s="15"/>
      <c r="E9" s="15"/>
      <c r="F9" s="210">
        <f>B9</f>
        <v>-9238.6886000002</v>
      </c>
      <c r="G9" s="211">
        <f>(F9+F40)</f>
        <v>-9567.9672735162</v>
      </c>
      <c r="H9" s="211">
        <f>(G9+G40)</f>
        <v>-8899.912968950001</v>
      </c>
      <c r="I9" s="211">
        <f>(H9+H40)</f>
        <v>-7186.526892466</v>
      </c>
      <c r="J9" s="211">
        <f>(I9+I40)</f>
        <v>-6769.3304899546</v>
      </c>
      <c r="K9" s="211">
        <f>(J9+J40)</f>
        <v>-3091.6233134706</v>
      </c>
      <c r="L9" s="211">
        <f>(K9+K40)</f>
        <v>-775.2761609592</v>
      </c>
      <c r="M9" s="211">
        <f>(L9+L40)</f>
        <v>1654.7160155248</v>
      </c>
      <c r="N9" s="211">
        <f>(M9+M40)</f>
        <v>5642.6383420088</v>
      </c>
      <c r="O9" s="211">
        <f>(N9+N40)</f>
        <v>8239.4268445202</v>
      </c>
      <c r="P9" s="211">
        <f>(O9+O40)</f>
        <v>9788.3073210042</v>
      </c>
      <c r="Q9" s="211">
        <f>(P9+P40)</f>
        <v>14539.3052235156</v>
      </c>
      <c r="R9" s="132"/>
      <c r="S9" s="132"/>
    </row>
    <row r="10" ht="20.25" customHeight="1">
      <c r="A10" s="17"/>
      <c r="B10" s="29"/>
      <c r="C10" s="18"/>
      <c r="D10" s="18"/>
      <c r="E10" s="18"/>
      <c r="F10" s="201"/>
      <c r="G10" s="201"/>
      <c r="H10" s="201"/>
      <c r="I10" s="201"/>
      <c r="J10" s="201"/>
      <c r="K10" s="201"/>
      <c r="L10" s="201"/>
      <c r="M10" s="201"/>
      <c r="N10" s="201"/>
      <c r="O10" s="201"/>
      <c r="P10" s="201"/>
      <c r="Q10" s="201"/>
      <c r="R10" s="201"/>
      <c r="S10" s="201"/>
    </row>
    <row r="11" ht="20.25" customHeight="1">
      <c r="A11" t="s" s="24">
        <v>234</v>
      </c>
      <c r="B11" s="27">
        <f>(B5*B12)</f>
        <v>535500</v>
      </c>
      <c r="C11" s="15"/>
      <c r="D11" s="15"/>
      <c r="E11" s="15"/>
      <c r="F11" s="212">
        <f>($B$11*F13)</f>
        <v>36735.3</v>
      </c>
      <c r="G11" s="212">
        <f>($B$11*G13)</f>
        <v>36949.5</v>
      </c>
      <c r="H11" s="212">
        <f>($B$11*H13)</f>
        <v>40216.05</v>
      </c>
      <c r="I11" s="212">
        <f>($B$11*I13)</f>
        <v>35289.45</v>
      </c>
      <c r="J11" s="212">
        <f>($B$11*J13)</f>
        <v>48462.75</v>
      </c>
      <c r="K11" s="212">
        <f>($B$11*K13)</f>
        <v>40912.2</v>
      </c>
      <c r="L11" s="212">
        <f>($B$11*L13)</f>
        <v>43107.75</v>
      </c>
      <c r="M11" s="212">
        <f>($B$11*M13)</f>
        <v>44232.3</v>
      </c>
      <c r="N11" s="212">
        <f>($B$11*N13)</f>
        <v>40323.15</v>
      </c>
      <c r="O11" s="212">
        <f>($B$11*O13)</f>
        <v>41072.85</v>
      </c>
      <c r="P11" s="212">
        <f>($B$11*P13)</f>
        <v>46534.95</v>
      </c>
      <c r="Q11" s="212">
        <f>($B$11*Q13)</f>
        <v>81610.2</v>
      </c>
      <c r="R11" s="212">
        <f>SUM(F11:Q11)</f>
        <v>535446.45</v>
      </c>
      <c r="S11" s="212"/>
    </row>
    <row r="12" ht="20.25" customHeight="1">
      <c r="A12" t="s" s="198">
        <v>243</v>
      </c>
      <c r="B12" s="213">
        <f>'Assumptions'!C42</f>
        <v>425</v>
      </c>
      <c r="C12" s="18"/>
      <c r="D12" s="18"/>
      <c r="E12" s="18"/>
      <c r="F12" s="201"/>
      <c r="G12" s="201"/>
      <c r="H12" s="201"/>
      <c r="I12" s="201"/>
      <c r="J12" s="201"/>
      <c r="K12" s="201"/>
      <c r="L12" s="201"/>
      <c r="M12" s="201"/>
      <c r="N12" s="201"/>
      <c r="O12" s="201"/>
      <c r="P12" s="201"/>
      <c r="Q12" s="201"/>
      <c r="R12" t="s" s="214">
        <v>2</v>
      </c>
      <c r="S12" s="201"/>
    </row>
    <row r="13" ht="20.25" customHeight="1">
      <c r="A13" t="s" s="111">
        <v>207</v>
      </c>
      <c r="B13" s="27"/>
      <c r="C13" s="15"/>
      <c r="D13" s="215">
        <f>SUM(E13:Q13)</f>
        <v>0.9999</v>
      </c>
      <c r="E13" s="216"/>
      <c r="F13" s="217">
        <v>0.06859999999999999</v>
      </c>
      <c r="G13" s="217">
        <v>0.06900000000000001</v>
      </c>
      <c r="H13" s="217">
        <v>0.0751</v>
      </c>
      <c r="I13" s="217">
        <v>0.0659</v>
      </c>
      <c r="J13" s="217">
        <v>0.0905</v>
      </c>
      <c r="K13" s="217">
        <v>0.0764</v>
      </c>
      <c r="L13" s="217">
        <v>0.0805</v>
      </c>
      <c r="M13" s="217">
        <v>0.08260000000000001</v>
      </c>
      <c r="N13" s="217">
        <v>0.07530000000000001</v>
      </c>
      <c r="O13" s="217">
        <v>0.0767</v>
      </c>
      <c r="P13" s="217">
        <v>0.08690000000000001</v>
      </c>
      <c r="Q13" s="217">
        <v>0.1524</v>
      </c>
      <c r="R13" s="218">
        <f>SUM(F13:Q13)</f>
        <v>0.9999</v>
      </c>
      <c r="S13" s="218"/>
    </row>
    <row r="14" ht="20.25" customHeight="1">
      <c r="A14" s="17"/>
      <c r="B14" s="29"/>
      <c r="C14" s="18"/>
      <c r="D14" s="18"/>
      <c r="E14" s="18"/>
      <c r="F14" s="201"/>
      <c r="G14" s="201"/>
      <c r="H14" s="201"/>
      <c r="I14" s="201"/>
      <c r="J14" s="201"/>
      <c r="K14" s="201"/>
      <c r="L14" s="201"/>
      <c r="M14" s="201"/>
      <c r="N14" s="201"/>
      <c r="O14" s="201"/>
      <c r="P14" s="201"/>
      <c r="Q14" s="201"/>
      <c r="R14" t="s" s="214">
        <v>2</v>
      </c>
      <c r="S14" s="201"/>
    </row>
    <row r="15" ht="20.25" customHeight="1">
      <c r="A15" t="s" s="24">
        <v>235</v>
      </c>
      <c r="B15" s="27">
        <f>(B9+B11)</f>
        <v>526261.3114</v>
      </c>
      <c r="C15" s="15"/>
      <c r="D15" s="15"/>
      <c r="E15" s="15"/>
      <c r="F15" s="212">
        <f>(F9+F11)</f>
        <v>27496.6113999998</v>
      </c>
      <c r="G15" s="212">
        <f>(G9+G11)</f>
        <v>27381.5327264838</v>
      </c>
      <c r="H15" s="212">
        <f>(H9+H11)</f>
        <v>31316.13703105</v>
      </c>
      <c r="I15" s="212">
        <f>(I9+I11)</f>
        <v>28102.923107534</v>
      </c>
      <c r="J15" s="212">
        <f>(J9+J11)</f>
        <v>41693.4195100454</v>
      </c>
      <c r="K15" s="212">
        <f>(K9+K11)</f>
        <v>37820.5766865294</v>
      </c>
      <c r="L15" s="212">
        <f>(L9+L11)</f>
        <v>42332.4738390408</v>
      </c>
      <c r="M15" s="212">
        <f>(M9+M11)</f>
        <v>45887.0160155248</v>
      </c>
      <c r="N15" s="212">
        <f>(N9+N11)</f>
        <v>45965.7883420088</v>
      </c>
      <c r="O15" s="212">
        <f>(O9+O11)</f>
        <v>49312.2768445202</v>
      </c>
      <c r="P15" s="212">
        <f>(P9+P11)</f>
        <v>56323.2573210042</v>
      </c>
      <c r="Q15" s="212">
        <f>(Q9+Q11)</f>
        <v>96149.5052235156</v>
      </c>
      <c r="R15" s="212">
        <f>SUM(F15:Q15)</f>
        <v>529781.518047257</v>
      </c>
      <c r="S15" t="s" s="219">
        <v>2</v>
      </c>
    </row>
    <row r="16" ht="20.25" customHeight="1">
      <c r="A16" s="17"/>
      <c r="B16" s="29"/>
      <c r="C16" s="18"/>
      <c r="D16" s="18"/>
      <c r="E16" s="18"/>
      <c r="F16" s="201"/>
      <c r="G16" s="201"/>
      <c r="H16" s="201"/>
      <c r="I16" s="201"/>
      <c r="J16" s="201"/>
      <c r="K16" s="201"/>
      <c r="L16" s="201"/>
      <c r="M16" s="201"/>
      <c r="N16" s="201"/>
      <c r="O16" s="201"/>
      <c r="P16" s="201"/>
      <c r="Q16" s="201"/>
      <c r="R16" t="s" s="214">
        <v>2</v>
      </c>
      <c r="S16" s="201"/>
    </row>
    <row r="17" ht="20.25" customHeight="1">
      <c r="A17" t="s" s="24">
        <v>236</v>
      </c>
      <c r="B17" s="27"/>
      <c r="C17" s="15"/>
      <c r="D17" s="216"/>
      <c r="E17" s="15"/>
      <c r="F17" s="212"/>
      <c r="G17" s="212"/>
      <c r="H17" s="212"/>
      <c r="I17" s="212"/>
      <c r="J17" s="212"/>
      <c r="K17" s="212"/>
      <c r="L17" s="212"/>
      <c r="M17" s="212"/>
      <c r="N17" s="212"/>
      <c r="O17" s="212"/>
      <c r="P17" s="212"/>
      <c r="Q17" s="212"/>
      <c r="R17" t="s" s="219">
        <v>2</v>
      </c>
      <c r="S17" s="196"/>
    </row>
    <row r="18" ht="20.25" customHeight="1">
      <c r="A18" t="s" s="24">
        <v>237</v>
      </c>
      <c r="B18" s="29">
        <f>($D$18*B11)</f>
        <v>285421.5</v>
      </c>
      <c r="C18" s="18"/>
      <c r="D18" s="220">
        <f>'Assumptions'!C45</f>
        <v>0.533</v>
      </c>
      <c r="E18" t="s" s="19">
        <v>2</v>
      </c>
      <c r="F18" s="221">
        <f>(F11*$D$18)</f>
        <v>19579.9149</v>
      </c>
      <c r="G18" s="221">
        <f>(G11*$D$18)</f>
        <v>19694.0835</v>
      </c>
      <c r="H18" s="221">
        <f>(H11*$D$18)</f>
        <v>21435.15465</v>
      </c>
      <c r="I18" s="221">
        <f>(I11*$D$18)</f>
        <v>18809.27685</v>
      </c>
      <c r="J18" s="221">
        <f>(J11*$D$18)</f>
        <v>25830.64575</v>
      </c>
      <c r="K18" s="221">
        <f>(K11*$D$18)</f>
        <v>21806.2026</v>
      </c>
      <c r="L18" s="221">
        <f>(L11*$D$18)</f>
        <v>22976.43075</v>
      </c>
      <c r="M18" s="221">
        <f>(M11*$D$18)</f>
        <v>23575.8159</v>
      </c>
      <c r="N18" s="221">
        <f>(N11*$D$18)</f>
        <v>21492.23895</v>
      </c>
      <c r="O18" s="221">
        <f>(O11*$D$18)</f>
        <v>21891.82905</v>
      </c>
      <c r="P18" s="221">
        <f>(P11*$D$18)</f>
        <v>24803.12835</v>
      </c>
      <c r="Q18" s="221">
        <f>(Q11*$D$18)</f>
        <v>43498.2366</v>
      </c>
      <c r="R18" s="221">
        <f>SUM(F18:Q18)</f>
        <v>285392.95785</v>
      </c>
      <c r="S18" s="222">
        <f>(R18/$R$11)</f>
        <v>0.533</v>
      </c>
    </row>
    <row r="19" ht="20.25" customHeight="1">
      <c r="A19" s="17"/>
      <c r="B19" s="27"/>
      <c r="C19" s="15"/>
      <c r="D19" t="s" s="223">
        <v>2</v>
      </c>
      <c r="E19" s="15"/>
      <c r="F19" s="196"/>
      <c r="G19" s="196"/>
      <c r="H19" s="196"/>
      <c r="I19" s="196"/>
      <c r="J19" s="196"/>
      <c r="K19" s="196"/>
      <c r="L19" s="196"/>
      <c r="M19" s="196"/>
      <c r="N19" s="196"/>
      <c r="O19" s="196"/>
      <c r="P19" s="196"/>
      <c r="Q19" s="196"/>
      <c r="R19" t="s" s="219">
        <v>2</v>
      </c>
      <c r="S19" t="s" s="219">
        <v>2</v>
      </c>
    </row>
    <row r="20" ht="20.25" customHeight="1">
      <c r="A20" t="s" s="224">
        <v>238</v>
      </c>
      <c r="B20" s="29"/>
      <c r="C20" s="18"/>
      <c r="D20" s="18"/>
      <c r="E20" s="18"/>
      <c r="F20" t="s" s="214">
        <v>2</v>
      </c>
      <c r="G20" t="s" s="214">
        <v>2</v>
      </c>
      <c r="H20" t="s" s="214">
        <v>2</v>
      </c>
      <c r="I20" t="s" s="214">
        <v>2</v>
      </c>
      <c r="J20" t="s" s="214">
        <v>2</v>
      </c>
      <c r="K20" t="s" s="214">
        <v>2</v>
      </c>
      <c r="L20" t="s" s="214">
        <v>2</v>
      </c>
      <c r="M20" t="s" s="214">
        <v>2</v>
      </c>
      <c r="N20" t="s" s="214">
        <v>2</v>
      </c>
      <c r="O20" t="s" s="214">
        <v>2</v>
      </c>
      <c r="P20" t="s" s="214">
        <v>2</v>
      </c>
      <c r="Q20" t="s" s="214">
        <v>2</v>
      </c>
      <c r="R20" t="s" s="214">
        <v>2</v>
      </c>
      <c r="S20" t="s" s="214">
        <v>2</v>
      </c>
    </row>
    <row r="21" ht="20.25" customHeight="1">
      <c r="A21" t="s" s="24">
        <v>210</v>
      </c>
      <c r="B21" s="27">
        <f>(B11*D21)</f>
        <v>99603</v>
      </c>
      <c r="C21" s="15"/>
      <c r="D21" s="216">
        <f>'Industry Averages (High Profit)'!C23</f>
        <v>0.186</v>
      </c>
      <c r="E21" s="15"/>
      <c r="F21" s="212">
        <f>'Proforma P&amp;L Year 3'!F17</f>
        <v>9347.371906849319</v>
      </c>
      <c r="G21" s="212">
        <f>'Proforma P&amp;L Year 3'!G17</f>
        <v>8442.787528767120</v>
      </c>
      <c r="H21" s="212">
        <f>'Proforma P&amp;L Year 3'!H17</f>
        <v>9347.371906849319</v>
      </c>
      <c r="I21" s="212">
        <f>'Proforma P&amp;L Year 3'!I17</f>
        <v>9045.843780821921</v>
      </c>
      <c r="J21" s="212">
        <f>'Proforma P&amp;L Year 3'!J17</f>
        <v>9347.371906849319</v>
      </c>
      <c r="K21" s="212">
        <f>'Proforma P&amp;L Year 3'!K17</f>
        <v>9045.843780821921</v>
      </c>
      <c r="L21" s="212">
        <f>'Proforma P&amp;L Year 3'!L17</f>
        <v>9347.371906849319</v>
      </c>
      <c r="M21" s="212">
        <f>'Proforma P&amp;L Year 3'!M17</f>
        <v>9347.371906849319</v>
      </c>
      <c r="N21" s="212">
        <f>'Proforma P&amp;L Year 3'!N17</f>
        <v>9045.843780821921</v>
      </c>
      <c r="O21" s="212">
        <f>'Proforma P&amp;L Year 3'!O17</f>
        <v>9347.371906849319</v>
      </c>
      <c r="P21" s="212">
        <f>'Proforma P&amp;L Year 3'!P17</f>
        <v>9045.843780821921</v>
      </c>
      <c r="Q21" s="212">
        <f>'Proforma P&amp;L Year 3'!Q17</f>
        <v>9347.371906849319</v>
      </c>
      <c r="R21" s="212">
        <f>SUM(F21:Q21)</f>
        <v>110057.766</v>
      </c>
      <c r="S21" s="217">
        <f>(R21/$R$11)</f>
        <v>0.205543926941714</v>
      </c>
    </row>
    <row r="22" ht="14.25" customHeight="1">
      <c r="A22" t="s" s="24">
        <v>87</v>
      </c>
      <c r="B22" s="225">
        <f>'Assumptions'!B26</f>
        <v>35000</v>
      </c>
      <c r="C22" s="200"/>
      <c r="D22" s="220">
        <f>(B22/B11)</f>
        <v>0.065359477124183</v>
      </c>
      <c r="E22" t="s" s="226">
        <v>2</v>
      </c>
      <c r="F22" s="227">
        <f>($B$22/12)</f>
        <v>2916.666666666670</v>
      </c>
      <c r="G22" s="227">
        <f>($B$22/12)</f>
        <v>2916.666666666670</v>
      </c>
      <c r="H22" s="227">
        <f>($B$22/12)</f>
        <v>2916.666666666670</v>
      </c>
      <c r="I22" s="227">
        <f>($B$22/12)</f>
        <v>2916.666666666670</v>
      </c>
      <c r="J22" s="227">
        <f>($B$22/12)</f>
        <v>2916.666666666670</v>
      </c>
      <c r="K22" s="227">
        <f>($B$22/12)</f>
        <v>2916.666666666670</v>
      </c>
      <c r="L22" s="227">
        <f>($B$22/12)</f>
        <v>2916.666666666670</v>
      </c>
      <c r="M22" s="227">
        <f>($B$22/12)</f>
        <v>2916.666666666670</v>
      </c>
      <c r="N22" s="227">
        <f>($B$22/12)</f>
        <v>2916.666666666670</v>
      </c>
      <c r="O22" s="227">
        <f>($B$22/12)</f>
        <v>2916.666666666670</v>
      </c>
      <c r="P22" s="227">
        <f>($B$22/12)</f>
        <v>2916.666666666670</v>
      </c>
      <c r="Q22" s="227">
        <f>($B$22/12)</f>
        <v>2916.666666666670</v>
      </c>
      <c r="R22" s="227">
        <f>SUM(F22:Q22)</f>
        <v>35000</v>
      </c>
      <c r="S22" s="228">
        <f>(R22/$R$11)</f>
        <v>0.0653660137255556</v>
      </c>
    </row>
    <row r="23" ht="20.25" customHeight="1">
      <c r="A23" t="s" s="24">
        <v>242</v>
      </c>
      <c r="B23" s="27">
        <f>($B$11*$D23)</f>
        <v>9639</v>
      </c>
      <c r="C23" s="15"/>
      <c r="D23" s="229">
        <f>'Industry Averages (High Profit)'!C26+'Industry Averages (High Profit)'!C27+'Industry Averages (High Profit)'!C28</f>
        <v>0.018</v>
      </c>
      <c r="E23" s="15"/>
      <c r="F23" s="212">
        <f>($B23/12)</f>
        <v>803.25</v>
      </c>
      <c r="G23" s="212">
        <f>($B23/12)</f>
        <v>803.25</v>
      </c>
      <c r="H23" s="212">
        <f>($B23/12)</f>
        <v>803.25</v>
      </c>
      <c r="I23" s="212">
        <f>($B23/12)</f>
        <v>803.25</v>
      </c>
      <c r="J23" s="212">
        <f>($B23/12)</f>
        <v>803.25</v>
      </c>
      <c r="K23" s="212">
        <f>($B23/12)</f>
        <v>803.25</v>
      </c>
      <c r="L23" s="212">
        <f>($B23/12)</f>
        <v>803.25</v>
      </c>
      <c r="M23" s="212">
        <f>($B23/12)</f>
        <v>803.25</v>
      </c>
      <c r="N23" s="212">
        <f>($B23/12)</f>
        <v>803.25</v>
      </c>
      <c r="O23" s="212">
        <f>($B23/12)</f>
        <v>803.25</v>
      </c>
      <c r="P23" s="212">
        <f>($B23/12)</f>
        <v>803.25</v>
      </c>
      <c r="Q23" s="212">
        <f>($B23/12)</f>
        <v>803.25</v>
      </c>
      <c r="R23" s="212">
        <f>SUM(F23:Q23)</f>
        <v>9639</v>
      </c>
      <c r="S23" s="217">
        <f>(R23/$R$11)</f>
        <v>0.018001800180018</v>
      </c>
    </row>
    <row r="24" ht="20.25" customHeight="1">
      <c r="A24" t="s" s="24">
        <v>212</v>
      </c>
      <c r="B24" s="29">
        <f>($B$11*$D24)</f>
        <v>5355</v>
      </c>
      <c r="C24" s="18"/>
      <c r="D24" s="220">
        <f>'Assumptions'!C50</f>
        <v>0.01</v>
      </c>
      <c r="E24" t="s" s="19">
        <v>2</v>
      </c>
      <c r="F24" s="221">
        <f>(F11*$D$24)</f>
        <v>367.353</v>
      </c>
      <c r="G24" s="221">
        <f>(G11*$D$24)</f>
        <v>369.495</v>
      </c>
      <c r="H24" s="221">
        <f>(H11*$D$24)</f>
        <v>402.1605</v>
      </c>
      <c r="I24" s="221">
        <f>(I11*$D$24)</f>
        <v>352.8945</v>
      </c>
      <c r="J24" s="221">
        <f>(J11*$D$24)</f>
        <v>484.6275</v>
      </c>
      <c r="K24" s="221">
        <f>(K11*$D$24)</f>
        <v>409.122</v>
      </c>
      <c r="L24" s="221">
        <f>(L11*$D$24)</f>
        <v>431.0775</v>
      </c>
      <c r="M24" s="221">
        <f>(M11*$D$24)</f>
        <v>442.323</v>
      </c>
      <c r="N24" s="221">
        <f>(N11*$D$24)</f>
        <v>403.2315</v>
      </c>
      <c r="O24" s="221">
        <f>(O11*$D$24)</f>
        <v>410.7285</v>
      </c>
      <c r="P24" s="221">
        <f>(P11*$D$24)</f>
        <v>465.3495</v>
      </c>
      <c r="Q24" s="221">
        <f>(Q11*$D$24)</f>
        <v>816.102</v>
      </c>
      <c r="R24" s="221">
        <f>SUM(F24:Q24)</f>
        <v>5354.4645</v>
      </c>
      <c r="S24" s="222">
        <f>(R24/$R$11)</f>
        <v>0.01</v>
      </c>
    </row>
    <row r="25" ht="20.25" customHeight="1">
      <c r="A25" t="s" s="24">
        <v>96</v>
      </c>
      <c r="B25" s="27">
        <f>($B$11*$D25)</f>
        <v>3213</v>
      </c>
      <c r="C25" s="15"/>
      <c r="D25" s="216">
        <f>'Industry Averages (High Profit)'!C33</f>
        <v>0.006</v>
      </c>
      <c r="E25" s="15"/>
      <c r="F25" s="212">
        <f>($B$25/12)</f>
        <v>267.75</v>
      </c>
      <c r="G25" s="212">
        <f>($B$25/12)</f>
        <v>267.75</v>
      </c>
      <c r="H25" s="212">
        <f>($B$25/12)</f>
        <v>267.75</v>
      </c>
      <c r="I25" s="212">
        <f>($B$25/12)</f>
        <v>267.75</v>
      </c>
      <c r="J25" s="212">
        <f>($B$25/12)</f>
        <v>267.75</v>
      </c>
      <c r="K25" s="212">
        <f>($B$25/12)</f>
        <v>267.75</v>
      </c>
      <c r="L25" s="212">
        <f>($B$25/12)</f>
        <v>267.75</v>
      </c>
      <c r="M25" s="212">
        <f>($B$25/12)</f>
        <v>267.75</v>
      </c>
      <c r="N25" s="212">
        <f>($B$25/12)</f>
        <v>267.75</v>
      </c>
      <c r="O25" s="212">
        <f>($B$25/12)</f>
        <v>267.75</v>
      </c>
      <c r="P25" s="212">
        <f>($B$25/12)</f>
        <v>267.75</v>
      </c>
      <c r="Q25" s="212">
        <f>($B$25/12)</f>
        <v>267.75</v>
      </c>
      <c r="R25" s="212">
        <f>SUM(F25:Q25)</f>
        <v>3213</v>
      </c>
      <c r="S25" s="217">
        <f>(R25/$R$11)</f>
        <v>0.006000600060006</v>
      </c>
    </row>
    <row r="26" ht="20.25" customHeight="1">
      <c r="A26" t="s" s="24">
        <v>164</v>
      </c>
      <c r="B26" s="29">
        <f>($B$11*$D26)</f>
        <v>4284</v>
      </c>
      <c r="C26" s="18"/>
      <c r="D26" s="230">
        <f>'Industry Averages (High Profit)'!C34</f>
        <v>0.008</v>
      </c>
      <c r="E26" s="18"/>
      <c r="F26" s="221">
        <f>($B$26/12)</f>
        <v>357</v>
      </c>
      <c r="G26" s="221">
        <f>($B$26/12)</f>
        <v>357</v>
      </c>
      <c r="H26" s="221">
        <f>($B$26/12)</f>
        <v>357</v>
      </c>
      <c r="I26" s="221">
        <f>($B$26/12)</f>
        <v>357</v>
      </c>
      <c r="J26" s="221">
        <f>($B$26/12)</f>
        <v>357</v>
      </c>
      <c r="K26" s="221">
        <f>($B$26/12)</f>
        <v>357</v>
      </c>
      <c r="L26" s="221">
        <f>($B$26/12)</f>
        <v>357</v>
      </c>
      <c r="M26" s="221">
        <f>($B$26/12)</f>
        <v>357</v>
      </c>
      <c r="N26" s="221">
        <f>($B$26/12)</f>
        <v>357</v>
      </c>
      <c r="O26" s="221">
        <f>($B$26/12)</f>
        <v>357</v>
      </c>
      <c r="P26" s="221">
        <f>($B$26/12)</f>
        <v>357</v>
      </c>
      <c r="Q26" s="221">
        <f>($B$26/12)</f>
        <v>357</v>
      </c>
      <c r="R26" s="221">
        <f>SUM(F26:Q26)</f>
        <v>4284</v>
      </c>
      <c r="S26" s="222">
        <f>(R26/$R$11)</f>
        <v>0.008000800080008001</v>
      </c>
    </row>
    <row r="27" ht="20.25" customHeight="1">
      <c r="A27" t="s" s="24">
        <v>213</v>
      </c>
      <c r="B27" s="27">
        <f>($B$11*$D27)</f>
        <v>7497</v>
      </c>
      <c r="C27" s="15"/>
      <c r="D27" s="216">
        <f>'Industry Averages (High Profit)'!C35</f>
        <v>0.014</v>
      </c>
      <c r="E27" s="15"/>
      <c r="F27" s="212">
        <f>($B$27/12)</f>
        <v>624.75</v>
      </c>
      <c r="G27" s="212">
        <f>($B$27/12)</f>
        <v>624.75</v>
      </c>
      <c r="H27" s="212">
        <f>($B$27/12)</f>
        <v>624.75</v>
      </c>
      <c r="I27" s="212">
        <f>($B$27/12)</f>
        <v>624.75</v>
      </c>
      <c r="J27" s="212">
        <f>($B$27/12)</f>
        <v>624.75</v>
      </c>
      <c r="K27" s="212">
        <f>($B$27/12)</f>
        <v>624.75</v>
      </c>
      <c r="L27" s="212">
        <f>($B$27/12)</f>
        <v>624.75</v>
      </c>
      <c r="M27" s="212">
        <f>($B$27/12)</f>
        <v>624.75</v>
      </c>
      <c r="N27" s="212">
        <f>($B$27/12)</f>
        <v>624.75</v>
      </c>
      <c r="O27" s="212">
        <f>($B$27/12)</f>
        <v>624.75</v>
      </c>
      <c r="P27" s="212">
        <f>($B$27/12)</f>
        <v>624.75</v>
      </c>
      <c r="Q27" s="212">
        <f>($B$27/12)</f>
        <v>624.75</v>
      </c>
      <c r="R27" s="212">
        <f>SUM(F27:Q27)</f>
        <v>7497</v>
      </c>
      <c r="S27" s="217">
        <f>(R27/$R$11)</f>
        <v>0.014001400140014</v>
      </c>
    </row>
    <row r="28" ht="20.25" customHeight="1">
      <c r="A28" t="s" s="24">
        <v>214</v>
      </c>
      <c r="B28" s="29">
        <f>($B$11*$D28)</f>
        <v>2142</v>
      </c>
      <c r="C28" s="18"/>
      <c r="D28" s="230">
        <f>'Industry Averages (High Profit)'!C37</f>
        <v>0.004</v>
      </c>
      <c r="E28" s="18"/>
      <c r="F28" t="s" s="214">
        <v>2</v>
      </c>
      <c r="G28" s="221">
        <f>($B$28/2)</f>
        <v>1071</v>
      </c>
      <c r="H28" t="s" s="214">
        <v>2</v>
      </c>
      <c r="I28" t="s" s="214">
        <v>2</v>
      </c>
      <c r="J28" t="s" s="214">
        <v>2</v>
      </c>
      <c r="K28" t="s" s="214">
        <v>2</v>
      </c>
      <c r="L28" t="s" s="214">
        <v>2</v>
      </c>
      <c r="M28" t="s" s="214">
        <v>2</v>
      </c>
      <c r="N28" t="s" s="214">
        <v>2</v>
      </c>
      <c r="O28" s="221">
        <f>($B$28/2)</f>
        <v>1071</v>
      </c>
      <c r="P28" t="s" s="214">
        <v>2</v>
      </c>
      <c r="Q28" t="s" s="214">
        <v>2</v>
      </c>
      <c r="R28" s="221">
        <f>SUM(F28:Q28)</f>
        <v>2142</v>
      </c>
      <c r="S28" s="222">
        <f>(R28/$R$11)</f>
        <v>0.004000400040004</v>
      </c>
    </row>
    <row r="29" ht="20.25" customHeight="1">
      <c r="A29" t="s" s="24">
        <v>215</v>
      </c>
      <c r="B29" s="27">
        <f>($B$11*$D29)</f>
        <v>2142</v>
      </c>
      <c r="C29" s="15"/>
      <c r="D29" s="216">
        <f>'Industry Averages (High Profit)'!C38</f>
        <v>0.004</v>
      </c>
      <c r="E29" s="15"/>
      <c r="F29" t="s" s="219">
        <v>2</v>
      </c>
      <c r="G29" t="s" s="219">
        <v>2</v>
      </c>
      <c r="H29" t="s" s="219">
        <v>2</v>
      </c>
      <c r="I29" t="s" s="219">
        <v>2</v>
      </c>
      <c r="J29" s="212">
        <f>B29</f>
        <v>2142</v>
      </c>
      <c r="K29" t="s" s="219">
        <v>2</v>
      </c>
      <c r="L29" t="s" s="219">
        <v>2</v>
      </c>
      <c r="M29" t="s" s="219">
        <v>2</v>
      </c>
      <c r="N29" t="s" s="219">
        <v>2</v>
      </c>
      <c r="O29" t="s" s="219">
        <v>2</v>
      </c>
      <c r="P29" t="s" s="219">
        <v>2</v>
      </c>
      <c r="Q29" t="s" s="219">
        <v>2</v>
      </c>
      <c r="R29" s="212">
        <f>SUM(F29:Q29)</f>
        <v>2142</v>
      </c>
      <c r="S29" s="217">
        <f>(R29/$R$11)</f>
        <v>0.004000400040004</v>
      </c>
    </row>
    <row r="30" ht="20.25" customHeight="1">
      <c r="A30" t="s" s="24">
        <v>216</v>
      </c>
      <c r="B30" s="29">
        <f>($B$11*$D30)</f>
        <v>12852</v>
      </c>
      <c r="C30" s="18"/>
      <c r="D30" s="230">
        <f>'Industry Averages (High Profit)'!C40</f>
        <v>0.024</v>
      </c>
      <c r="E30" s="18"/>
      <c r="F30" s="221">
        <f>(F11*$D$30)</f>
        <v>881.6472</v>
      </c>
      <c r="G30" s="221">
        <f>(G11*$D$30)</f>
        <v>886.788</v>
      </c>
      <c r="H30" s="221">
        <f>(H11*$D$30)</f>
        <v>965.1852</v>
      </c>
      <c r="I30" s="221">
        <f>(I11*$D$30)</f>
        <v>846.9468000000001</v>
      </c>
      <c r="J30" s="221">
        <f>(J11*$D$30)</f>
        <v>1163.106</v>
      </c>
      <c r="K30" s="221">
        <f>(K11*$D$30)</f>
        <v>981.8928</v>
      </c>
      <c r="L30" s="221">
        <f>(L11*$D$30)</f>
        <v>1034.586</v>
      </c>
      <c r="M30" s="221">
        <f>(M11*$D$30)</f>
        <v>1061.5752</v>
      </c>
      <c r="N30" s="221">
        <f>(N11*$D$30)</f>
        <v>967.7556</v>
      </c>
      <c r="O30" s="221">
        <f>(O11*$D$30)</f>
        <v>985.7483999999999</v>
      </c>
      <c r="P30" s="221">
        <f>(P11*$D$30)</f>
        <v>1116.8388</v>
      </c>
      <c r="Q30" s="221">
        <f>(Q11*$D$30)</f>
        <v>1958.6448</v>
      </c>
      <c r="R30" s="221">
        <f>SUM(F30:Q30)</f>
        <v>12850.7148</v>
      </c>
      <c r="S30" s="222">
        <f>(R30/$R$11)</f>
        <v>0.024</v>
      </c>
    </row>
    <row r="31" ht="20.25" customHeight="1">
      <c r="A31" t="s" s="24">
        <v>177</v>
      </c>
      <c r="B31" s="27">
        <f>($B$11*$D31)</f>
        <v>2142</v>
      </c>
      <c r="C31" s="15"/>
      <c r="D31" s="216">
        <f>'Industry Averages (High Profit)'!C41</f>
        <v>0.004</v>
      </c>
      <c r="E31" s="15"/>
      <c r="F31" s="212">
        <f>($B$31/2)</f>
        <v>1071</v>
      </c>
      <c r="G31" t="s" s="219">
        <v>2</v>
      </c>
      <c r="H31" t="s" s="219">
        <v>2</v>
      </c>
      <c r="I31" t="s" s="219">
        <v>2</v>
      </c>
      <c r="J31" t="s" s="219">
        <v>2</v>
      </c>
      <c r="K31" t="s" s="219">
        <v>2</v>
      </c>
      <c r="L31" s="212">
        <f>($B$31/2)</f>
        <v>1071</v>
      </c>
      <c r="M31" t="s" s="219">
        <v>2</v>
      </c>
      <c r="N31" t="s" s="219">
        <v>2</v>
      </c>
      <c r="O31" t="s" s="219">
        <v>2</v>
      </c>
      <c r="P31" t="s" s="219">
        <v>2</v>
      </c>
      <c r="Q31" t="s" s="219">
        <v>2</v>
      </c>
      <c r="R31" s="212">
        <f>SUM(F31:Q31)</f>
        <v>2142</v>
      </c>
      <c r="S31" s="217">
        <f>(R31/$R$11)</f>
        <v>0.004000400040004</v>
      </c>
    </row>
    <row r="32" ht="20.25" customHeight="1">
      <c r="A32" t="s" s="24">
        <v>111</v>
      </c>
      <c r="B32" s="29">
        <f>($B$11*$D32)</f>
        <v>1606.5</v>
      </c>
      <c r="C32" s="18"/>
      <c r="D32" s="230">
        <f>'Industry Averages (High Profit)'!C42</f>
        <v>0.003</v>
      </c>
      <c r="E32" s="18"/>
      <c r="F32" t="s" s="214">
        <v>2</v>
      </c>
      <c r="G32" t="s" s="214">
        <v>2</v>
      </c>
      <c r="H32" s="221">
        <f>($B$32/3)</f>
        <v>535.5</v>
      </c>
      <c r="I32" t="s" s="214">
        <v>2</v>
      </c>
      <c r="J32" t="s" s="214">
        <v>2</v>
      </c>
      <c r="K32" s="221">
        <f>($B$32/3)</f>
        <v>535.5</v>
      </c>
      <c r="L32" t="s" s="214">
        <v>2</v>
      </c>
      <c r="M32" t="s" s="214">
        <v>2</v>
      </c>
      <c r="N32" t="s" s="214">
        <v>2</v>
      </c>
      <c r="O32" t="s" s="214">
        <v>2</v>
      </c>
      <c r="P32" s="221">
        <f>($B$32/3)</f>
        <v>535.5</v>
      </c>
      <c r="Q32" t="s" s="214">
        <v>2</v>
      </c>
      <c r="R32" s="221">
        <f>SUM(F32:Q32)</f>
        <v>1606.5</v>
      </c>
      <c r="S32" s="222">
        <f>(R32/$R$11)</f>
        <v>0.003000300030003</v>
      </c>
    </row>
    <row r="33" ht="20.25" customHeight="1">
      <c r="A33" t="s" s="24">
        <v>217</v>
      </c>
      <c r="B33" s="27">
        <f>($B$11*$D33)</f>
        <v>2142</v>
      </c>
      <c r="C33" s="15"/>
      <c r="D33" s="216">
        <f>'Industry Averages (High Profit)'!C43</f>
        <v>0.004</v>
      </c>
      <c r="E33" s="15"/>
      <c r="F33" s="212"/>
      <c r="G33" s="212"/>
      <c r="H33" s="212"/>
      <c r="I33" s="212"/>
      <c r="J33" s="212"/>
      <c r="K33" s="212"/>
      <c r="L33" s="212"/>
      <c r="M33" s="212"/>
      <c r="N33" s="212"/>
      <c r="O33" s="212"/>
      <c r="P33" s="212"/>
      <c r="Q33" s="212">
        <f>B33</f>
        <v>2142</v>
      </c>
      <c r="R33" s="212">
        <f>SUM(F33:Q33)</f>
        <v>2142</v>
      </c>
      <c r="S33" s="217">
        <f>(R33/$R$11)</f>
        <v>0.004000400040004</v>
      </c>
    </row>
    <row r="34" ht="20.25" customHeight="1">
      <c r="A34" t="s" s="231">
        <v>218</v>
      </c>
      <c r="B34" s="29">
        <f>($B$11*$D34)</f>
        <v>1606.5</v>
      </c>
      <c r="C34" s="18"/>
      <c r="D34" s="230">
        <f>'Industry Averages (High Profit)'!C44</f>
        <v>0.003</v>
      </c>
      <c r="E34" s="18"/>
      <c r="F34" s="221">
        <f>($B$34/12)</f>
        <v>133.875</v>
      </c>
      <c r="G34" s="221">
        <f>($B$34/12)</f>
        <v>133.875</v>
      </c>
      <c r="H34" s="221">
        <f>($B$34/12)</f>
        <v>133.875</v>
      </c>
      <c r="I34" s="221">
        <f>($B$34/12)</f>
        <v>133.875</v>
      </c>
      <c r="J34" s="221">
        <f>($B$34/12)</f>
        <v>133.875</v>
      </c>
      <c r="K34" s="221">
        <f>($B$34/12)</f>
        <v>133.875</v>
      </c>
      <c r="L34" s="221">
        <f>($B$34/12)</f>
        <v>133.875</v>
      </c>
      <c r="M34" s="221">
        <f>($B$34/12)</f>
        <v>133.875</v>
      </c>
      <c r="N34" s="221">
        <f>($B$34/12)</f>
        <v>133.875</v>
      </c>
      <c r="O34" s="221">
        <f>($B$34/12)</f>
        <v>133.875</v>
      </c>
      <c r="P34" s="221">
        <f>($B$34/12)</f>
        <v>133.875</v>
      </c>
      <c r="Q34" s="221">
        <f>($B$34/12)</f>
        <v>133.875</v>
      </c>
      <c r="R34" s="221">
        <f>SUM(F34:Q34)</f>
        <v>1606.5</v>
      </c>
      <c r="S34" s="222">
        <f>(R34/$R$11)</f>
        <v>0.003000300030003</v>
      </c>
    </row>
    <row r="35" ht="20.25" customHeight="1">
      <c r="A35" t="s" s="232">
        <v>219</v>
      </c>
      <c r="B35" s="27">
        <f>($B$11*$D35)</f>
        <v>2142</v>
      </c>
      <c r="C35" s="15"/>
      <c r="D35" s="216">
        <f>'Industry Averages (High Profit)'!C45</f>
        <v>0.004</v>
      </c>
      <c r="E35" s="15"/>
      <c r="F35" s="212">
        <f>($B$35/12)</f>
        <v>178.5</v>
      </c>
      <c r="G35" s="212">
        <f>($B$35/12)</f>
        <v>178.5</v>
      </c>
      <c r="H35" s="212">
        <f>($B$35/12)</f>
        <v>178.5</v>
      </c>
      <c r="I35" s="212">
        <f>($B$35/12)</f>
        <v>178.5</v>
      </c>
      <c r="J35" s="212">
        <f>($B$35/12)</f>
        <v>178.5</v>
      </c>
      <c r="K35" s="212">
        <f>($B$35/12)</f>
        <v>178.5</v>
      </c>
      <c r="L35" s="212">
        <f>($B$35/12)</f>
        <v>178.5</v>
      </c>
      <c r="M35" s="212">
        <f>($B$35/12)</f>
        <v>178.5</v>
      </c>
      <c r="N35" s="212">
        <f>($B$35/12)</f>
        <v>178.5</v>
      </c>
      <c r="O35" s="212">
        <f>($B$35/12)</f>
        <v>178.5</v>
      </c>
      <c r="P35" s="212">
        <f>($B$35/12)</f>
        <v>178.5</v>
      </c>
      <c r="Q35" s="212">
        <f>($B$35/12)</f>
        <v>178.5</v>
      </c>
      <c r="R35" s="212">
        <f>SUM(F35:Q35)</f>
        <v>2142</v>
      </c>
      <c r="S35" s="217">
        <f>(R35/$R$11)</f>
        <v>0.004000400040004</v>
      </c>
    </row>
    <row r="36" ht="20.25" customHeight="1">
      <c r="A36" t="s" s="232">
        <v>220</v>
      </c>
      <c r="B36" s="29">
        <f>($B$11*$D36)</f>
        <v>6426</v>
      </c>
      <c r="C36" s="18"/>
      <c r="D36" s="230">
        <f>'Industry Averages (High Profit)'!C46</f>
        <v>0.012</v>
      </c>
      <c r="E36" s="18"/>
      <c r="F36" s="221">
        <f>($B$36/12)</f>
        <v>535.5</v>
      </c>
      <c r="G36" s="221">
        <f>($B$36/12)</f>
        <v>535.5</v>
      </c>
      <c r="H36" s="221">
        <f>($B$36/12)</f>
        <v>535.5</v>
      </c>
      <c r="I36" s="221">
        <f>($B$36/12)</f>
        <v>535.5</v>
      </c>
      <c r="J36" s="221">
        <f>($B$36/12)</f>
        <v>535.5</v>
      </c>
      <c r="K36" s="221">
        <f>($B$36/12)</f>
        <v>535.5</v>
      </c>
      <c r="L36" s="221">
        <f>($B$36/12)</f>
        <v>535.5</v>
      </c>
      <c r="M36" s="221">
        <f>($B$36/12)</f>
        <v>535.5</v>
      </c>
      <c r="N36" s="221">
        <f>($B$36/12)</f>
        <v>535.5</v>
      </c>
      <c r="O36" s="221">
        <f>($B$36/12)</f>
        <v>535.5</v>
      </c>
      <c r="P36" s="221">
        <f>($B$36/12)</f>
        <v>535.5</v>
      </c>
      <c r="Q36" s="221">
        <f>($B$36/12)</f>
        <v>535.5</v>
      </c>
      <c r="R36" s="221">
        <f>SUM(F36:Q36)</f>
        <v>6426</v>
      </c>
      <c r="S36" s="222">
        <f>(R36/$R$11)</f>
        <v>0.012001200120012</v>
      </c>
    </row>
    <row r="37" ht="20.25" customHeight="1">
      <c r="A37" t="s" s="233">
        <v>2</v>
      </c>
      <c r="B37" s="27"/>
      <c r="C37" s="15"/>
      <c r="D37" s="15"/>
      <c r="E37" s="15"/>
      <c r="F37" s="196"/>
      <c r="G37" s="196"/>
      <c r="H37" s="196"/>
      <c r="I37" s="196"/>
      <c r="J37" s="196"/>
      <c r="K37" s="196"/>
      <c r="L37" s="196"/>
      <c r="M37" s="196"/>
      <c r="N37" s="196"/>
      <c r="O37" s="196"/>
      <c r="P37" s="196"/>
      <c r="Q37" t="s" s="219">
        <v>2</v>
      </c>
      <c r="R37" s="212"/>
      <c r="S37" t="s" s="219">
        <v>2</v>
      </c>
    </row>
    <row r="38" ht="20.25" customHeight="1">
      <c r="A38" t="s" s="232">
        <v>221</v>
      </c>
      <c r="B38" s="29">
        <f>SUM(B18:B36)</f>
        <v>483213.5</v>
      </c>
      <c r="C38" s="18"/>
      <c r="D38" s="18"/>
      <c r="E38" s="18"/>
      <c r="F38" s="221">
        <f>SUM(F18:F37)</f>
        <v>37064.578673516</v>
      </c>
      <c r="G38" s="221">
        <f>SUM(G18:G37)</f>
        <v>36281.4456954338</v>
      </c>
      <c r="H38" s="221">
        <f>SUM(H18:H37)</f>
        <v>38502.663923516</v>
      </c>
      <c r="I38" s="221">
        <f>SUM(I18:I37)</f>
        <v>34872.2535974886</v>
      </c>
      <c r="J38" s="221">
        <f>SUM(J18:J37)</f>
        <v>44785.042823516</v>
      </c>
      <c r="K38" s="221">
        <f>SUM(K18:K37)</f>
        <v>38595.8528474886</v>
      </c>
      <c r="L38" s="221">
        <f>SUM(L18:L37)</f>
        <v>40677.757823516</v>
      </c>
      <c r="M38" s="221">
        <f>SUM(M18:M37)</f>
        <v>40244.377673516</v>
      </c>
      <c r="N38" s="221">
        <f>SUM(N18:N37)</f>
        <v>37726.3614974886</v>
      </c>
      <c r="O38" s="221">
        <f>SUM(O18:O37)</f>
        <v>39523.969523516</v>
      </c>
      <c r="P38" s="221">
        <f>SUM(P18:P37)</f>
        <v>41783.9520974886</v>
      </c>
      <c r="Q38" s="221">
        <f>SUM(Q18:Q37)</f>
        <v>63579.646973516</v>
      </c>
      <c r="R38" s="221">
        <f>SUM(R18:R37)</f>
        <v>493637.90315</v>
      </c>
      <c r="S38" s="222">
        <f>(R38/$R$11)</f>
        <v>0.921918341507353</v>
      </c>
    </row>
    <row r="39" ht="20.25" customHeight="1">
      <c r="A39" s="234"/>
      <c r="B39" s="27"/>
      <c r="C39" s="15"/>
      <c r="D39" s="15"/>
      <c r="E39" s="15"/>
      <c r="F39" s="196"/>
      <c r="G39" s="196"/>
      <c r="H39" s="196"/>
      <c r="I39" s="196"/>
      <c r="J39" s="196"/>
      <c r="K39" s="196"/>
      <c r="L39" s="196"/>
      <c r="M39" s="196"/>
      <c r="N39" s="196"/>
      <c r="O39" s="196"/>
      <c r="P39" s="196"/>
      <c r="Q39" s="196"/>
      <c r="R39" s="196"/>
      <c r="S39" s="196"/>
    </row>
    <row r="40" ht="14.25" customHeight="1">
      <c r="A40" t="s" s="235">
        <v>239</v>
      </c>
      <c r="B40" s="213">
        <f>(B15-B38)</f>
        <v>43047.8114</v>
      </c>
      <c r="C40" s="236"/>
      <c r="D40" s="236"/>
      <c r="E40" s="236"/>
      <c r="F40" s="237">
        <f>(F11-F38)</f>
        <v>-329.278673516</v>
      </c>
      <c r="G40" s="237">
        <f>(G11-G38)</f>
        <v>668.0543045662</v>
      </c>
      <c r="H40" s="237">
        <f>(H11-H38)</f>
        <v>1713.386076484</v>
      </c>
      <c r="I40" s="237">
        <f>(I11-I38)</f>
        <v>417.1964025114</v>
      </c>
      <c r="J40" s="237">
        <f>(J11-J38)</f>
        <v>3677.707176484</v>
      </c>
      <c r="K40" s="237">
        <f>(K11-K38)</f>
        <v>2316.3471525114</v>
      </c>
      <c r="L40" s="237">
        <f>(L11-L38)</f>
        <v>2429.992176484</v>
      </c>
      <c r="M40" s="237">
        <f>(M11-M38)</f>
        <v>3987.922326484</v>
      </c>
      <c r="N40" s="237">
        <f>(N11-N38)</f>
        <v>2596.7885025114</v>
      </c>
      <c r="O40" s="237">
        <f>(O11-O38)</f>
        <v>1548.880476484</v>
      </c>
      <c r="P40" s="237">
        <f>(P11-P38)</f>
        <v>4750.9979025114</v>
      </c>
      <c r="Q40" s="237">
        <f>(Q11-Q38)</f>
        <v>18030.553026484</v>
      </c>
      <c r="R40" s="237">
        <f>SUM(F40:Q40)</f>
        <v>41808.5468499998</v>
      </c>
      <c r="S40" s="238">
        <f>R40/R11</f>
        <v>0.0780816584926463</v>
      </c>
    </row>
    <row r="41" ht="20.25" customHeight="1">
      <c r="A41" t="s" s="24">
        <v>222</v>
      </c>
      <c r="B41" s="27"/>
      <c r="C41" s="15"/>
      <c r="D41" s="15"/>
      <c r="E41" s="15"/>
      <c r="F41" s="212">
        <f>'Funding'!B15</f>
        <v>0</v>
      </c>
      <c r="G41" s="212">
        <f>$F$41</f>
        <v>0</v>
      </c>
      <c r="H41" s="212">
        <f>$F$41</f>
        <v>0</v>
      </c>
      <c r="I41" s="212">
        <f>$F$41</f>
        <v>0</v>
      </c>
      <c r="J41" s="212">
        <f>$F$41</f>
        <v>0</v>
      </c>
      <c r="K41" s="212">
        <f>$F$41</f>
        <v>0</v>
      </c>
      <c r="L41" s="212">
        <f>$F$41</f>
        <v>0</v>
      </c>
      <c r="M41" s="212">
        <f>$F$41</f>
        <v>0</v>
      </c>
      <c r="N41" s="212">
        <f>$F$41</f>
        <v>0</v>
      </c>
      <c r="O41" s="212">
        <f>$F$41</f>
        <v>0</v>
      </c>
      <c r="P41" s="212">
        <f>$F$41</f>
        <v>0</v>
      </c>
      <c r="Q41" s="212">
        <f>$F$41</f>
        <v>0</v>
      </c>
      <c r="R41" s="237">
        <f>SUM(F41:Q41)</f>
        <v>0</v>
      </c>
      <c r="S41" s="196"/>
    </row>
    <row r="42" ht="20.25" customHeight="1">
      <c r="A42" t="s" s="24">
        <v>240</v>
      </c>
      <c r="B42" s="29"/>
      <c r="C42" s="18"/>
      <c r="D42" s="18"/>
      <c r="E42" s="18"/>
      <c r="F42" s="221">
        <f>(F40-F41)</f>
        <v>-329.278673516</v>
      </c>
      <c r="G42" s="221">
        <f>(G40-G41)</f>
        <v>668.0543045662</v>
      </c>
      <c r="H42" s="221">
        <f>(H40-H41)</f>
        <v>1713.386076484</v>
      </c>
      <c r="I42" s="221">
        <f>(I40-I41)</f>
        <v>417.1964025114</v>
      </c>
      <c r="J42" s="221">
        <f>(J40-J41)</f>
        <v>3677.707176484</v>
      </c>
      <c r="K42" s="221">
        <f>(K40-K41)</f>
        <v>2316.3471525114</v>
      </c>
      <c r="L42" s="221">
        <f>(L40-L41)</f>
        <v>2429.992176484</v>
      </c>
      <c r="M42" s="221">
        <f>(M40-M41)</f>
        <v>3987.922326484</v>
      </c>
      <c r="N42" s="221">
        <f>(N40-N41)</f>
        <v>2596.7885025114</v>
      </c>
      <c r="O42" s="221">
        <f>(O40-O41)</f>
        <v>1548.880476484</v>
      </c>
      <c r="P42" s="221">
        <f>(P40-P41)</f>
        <v>4750.9979025114</v>
      </c>
      <c r="Q42" s="221">
        <f>(Q40-Q41)</f>
        <v>18030.553026484</v>
      </c>
      <c r="R42" s="237">
        <f>SUM(F42:Q42)</f>
        <v>41808.5468499998</v>
      </c>
      <c r="S42" s="201"/>
    </row>
    <row r="43" ht="20.25" customHeight="1">
      <c r="A43" t="s" s="111">
        <v>241</v>
      </c>
      <c r="B43" s="27"/>
      <c r="C43" s="15"/>
      <c r="D43" s="15"/>
      <c r="E43" s="15"/>
      <c r="F43" s="196"/>
      <c r="G43" s="196"/>
      <c r="H43" s="196"/>
      <c r="I43" s="196"/>
      <c r="J43" s="196"/>
      <c r="K43" s="196"/>
      <c r="L43" s="196"/>
      <c r="M43" s="196"/>
      <c r="N43" s="196"/>
      <c r="O43" s="196"/>
      <c r="P43" s="196"/>
      <c r="Q43" s="240">
        <f>(B9+R42)</f>
        <v>32569.8582499996</v>
      </c>
      <c r="R43" s="196"/>
      <c r="S43" s="196"/>
    </row>
    <row r="44" ht="20.25" customHeight="1">
      <c r="A44" s="17"/>
      <c r="B44" s="29"/>
      <c r="C44" s="18"/>
      <c r="D44" s="18"/>
      <c r="E44" s="18"/>
      <c r="F44" s="201"/>
      <c r="G44" s="201"/>
      <c r="H44" s="201"/>
      <c r="I44" s="201"/>
      <c r="J44" s="201"/>
      <c r="K44" s="201"/>
      <c r="L44" s="201"/>
      <c r="M44" s="201"/>
      <c r="N44" s="201"/>
      <c r="O44" s="201"/>
      <c r="P44" s="201"/>
      <c r="Q44" s="201"/>
      <c r="R44" s="201"/>
      <c r="S44" s="201"/>
    </row>
  </sheetData>
  <pageMargins left="0.5" right="0.5" top="0.5" bottom="0.5" header="0.25" footer="0.25"/>
  <pageSetup firstPageNumber="1" fitToHeight="1" fitToWidth="1" scale="54" useFirstPageNumber="0" orientation="landscape" pageOrder="downThenOver"/>
  <headerFooter>
    <oddFooter>&amp;C&amp;"Helvetica Neue,Regular"&amp;12&amp;K000000&amp;P</oddFooter>
  </headerFooter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dimension ref="A1:E55"/>
  <sheetViews>
    <sheetView workbookViewId="0" showGridLines="0" defaultGridColor="1"/>
  </sheetViews>
  <sheetFormatPr defaultColWidth="16.3333" defaultRowHeight="18" customHeight="1" outlineLevelRow="0" outlineLevelCol="0"/>
  <cols>
    <col min="1" max="1" width="26.6719" style="46" customWidth="1"/>
    <col min="2" max="2" width="9.85156" style="46" customWidth="1"/>
    <col min="3" max="3" width="16.3516" style="46" customWidth="1"/>
    <col min="4" max="4" width="4.85156" style="46" customWidth="1"/>
    <col min="5" max="5" width="45.3516" style="46" customWidth="1"/>
    <col min="6" max="16384" width="16.3516" style="46" customWidth="1"/>
  </cols>
  <sheetData>
    <row r="1" ht="53.25" customHeight="1">
      <c r="A1" t="s" s="47">
        <v>61</v>
      </c>
      <c r="B1" s="48"/>
      <c r="C1" s="48"/>
      <c r="D1" s="8"/>
      <c r="E1" s="8"/>
    </row>
    <row r="2" ht="20.5" customHeight="1">
      <c r="A2" t="s" s="49">
        <v>62</v>
      </c>
      <c r="B2" s="50"/>
      <c r="C2" s="51"/>
      <c r="D2" s="12"/>
      <c r="E2" s="12"/>
    </row>
    <row r="3" ht="20.25" customHeight="1">
      <c r="A3" t="s" s="52">
        <v>63</v>
      </c>
      <c r="B3" s="53"/>
      <c r="C3" s="54"/>
      <c r="D3" s="15"/>
      <c r="E3" s="15"/>
    </row>
    <row r="4" ht="20.25" customHeight="1">
      <c r="A4" t="s" s="55">
        <v>64</v>
      </c>
      <c r="B4" s="56">
        <v>468</v>
      </c>
      <c r="C4" s="57"/>
      <c r="D4" s="18"/>
      <c r="E4" s="18"/>
    </row>
    <row r="5" ht="26.75" customHeight="1">
      <c r="A5" s="17"/>
      <c r="B5" s="58"/>
      <c r="C5" t="s" s="59">
        <v>65</v>
      </c>
      <c r="D5" s="18"/>
      <c r="E5" t="s" s="60">
        <v>66</v>
      </c>
    </row>
    <row r="6" ht="20.25" customHeight="1">
      <c r="A6" t="s" s="55">
        <v>67</v>
      </c>
      <c r="B6" s="53"/>
      <c r="C6" s="61">
        <v>76</v>
      </c>
      <c r="D6" s="15"/>
      <c r="E6" t="s" s="62">
        <v>2</v>
      </c>
    </row>
    <row r="7" ht="20.25" customHeight="1">
      <c r="A7" t="s" s="55">
        <v>68</v>
      </c>
      <c r="B7" s="63"/>
      <c r="C7" s="64">
        <f>(C6/B4)</f>
        <v>0.162393162393162</v>
      </c>
      <c r="D7" s="18"/>
      <c r="E7" s="18"/>
    </row>
    <row r="8" ht="20.25" customHeight="1">
      <c r="A8" s="17"/>
      <c r="B8" s="20"/>
      <c r="C8" s="54"/>
      <c r="D8" s="15"/>
      <c r="E8" s="15"/>
    </row>
    <row r="9" ht="20.25" customHeight="1">
      <c r="A9" t="s" s="65">
        <v>69</v>
      </c>
      <c r="B9" s="66"/>
      <c r="C9" s="67">
        <v>1</v>
      </c>
      <c r="D9" s="18"/>
      <c r="E9" t="s" s="19">
        <v>70</v>
      </c>
    </row>
    <row r="10" ht="20.25" customHeight="1">
      <c r="A10" t="s" s="55">
        <v>71</v>
      </c>
      <c r="B10" s="68"/>
      <c r="C10" s="69">
        <v>0.781</v>
      </c>
      <c r="D10" s="15"/>
      <c r="E10" s="15"/>
    </row>
    <row r="11" ht="20.25" customHeight="1">
      <c r="A11" t="s" s="55">
        <v>72</v>
      </c>
      <c r="B11" s="70"/>
      <c r="C11" s="71">
        <v>0.036</v>
      </c>
      <c r="D11" s="18"/>
      <c r="E11" s="18"/>
    </row>
    <row r="12" ht="20.25" customHeight="1">
      <c r="A12" t="s" s="55">
        <v>73</v>
      </c>
      <c r="B12" s="68"/>
      <c r="C12" s="69">
        <v>0.183</v>
      </c>
      <c r="D12" s="15"/>
      <c r="E12" s="15"/>
    </row>
    <row r="13" ht="20.25" customHeight="1">
      <c r="A13" t="s" s="65">
        <v>74</v>
      </c>
      <c r="B13" s="72"/>
      <c r="C13" s="73">
        <v>0.506</v>
      </c>
      <c r="D13" s="18"/>
      <c r="E13" t="s" s="19">
        <v>75</v>
      </c>
    </row>
    <row r="14" ht="20.25" customHeight="1">
      <c r="A14" t="s" s="65">
        <v>76</v>
      </c>
      <c r="B14" s="74"/>
      <c r="C14" s="75">
        <v>0.494</v>
      </c>
      <c r="D14" s="15"/>
      <c r="E14" t="s" s="16">
        <v>77</v>
      </c>
    </row>
    <row r="15" ht="20.25" customHeight="1">
      <c r="A15" s="17"/>
      <c r="B15" s="76"/>
      <c r="C15" s="71"/>
      <c r="D15" s="18"/>
      <c r="E15" s="18"/>
    </row>
    <row r="16" ht="20.25" customHeight="1">
      <c r="A16" t="s" s="65">
        <v>78</v>
      </c>
      <c r="B16" s="77"/>
      <c r="C16" s="69"/>
      <c r="D16" s="15"/>
      <c r="E16" s="15"/>
    </row>
    <row r="17" ht="20.25" customHeight="1">
      <c r="A17" t="s" s="55">
        <v>79</v>
      </c>
      <c r="B17" s="76"/>
      <c r="C17" s="71">
        <v>0.033</v>
      </c>
      <c r="D17" s="18"/>
      <c r="E17" s="18"/>
    </row>
    <row r="18" ht="20.25" customHeight="1">
      <c r="A18" t="s" s="55">
        <v>80</v>
      </c>
      <c r="B18" s="77"/>
      <c r="C18" s="69">
        <v>0.134</v>
      </c>
      <c r="D18" s="15"/>
      <c r="E18" t="s" s="16">
        <v>81</v>
      </c>
    </row>
    <row r="19" ht="20.25" customHeight="1">
      <c r="A19" t="s" s="55">
        <v>82</v>
      </c>
      <c r="B19" s="76"/>
      <c r="C19" s="71">
        <v>0.01</v>
      </c>
      <c r="D19" s="18"/>
      <c r="E19" s="18"/>
    </row>
    <row r="20" ht="20.25" customHeight="1">
      <c r="A20" t="s" s="55">
        <v>83</v>
      </c>
      <c r="B20" s="77"/>
      <c r="C20" s="69">
        <v>0.007</v>
      </c>
      <c r="D20" s="15"/>
      <c r="E20" s="15"/>
    </row>
    <row r="21" ht="20.25" customHeight="1">
      <c r="A21" t="s" s="55">
        <v>84</v>
      </c>
      <c r="B21" s="76"/>
      <c r="C21" s="71">
        <v>0.002</v>
      </c>
      <c r="D21" s="18"/>
      <c r="E21" s="18"/>
    </row>
    <row r="22" ht="20.25" customHeight="1">
      <c r="A22" t="s" s="55">
        <v>85</v>
      </c>
      <c r="B22" s="77"/>
      <c r="C22" s="69">
        <v>0</v>
      </c>
      <c r="D22" s="15"/>
      <c r="E22" s="15"/>
    </row>
    <row r="23" ht="20.25" customHeight="1">
      <c r="A23" t="s" s="65">
        <v>86</v>
      </c>
      <c r="B23" s="78"/>
      <c r="C23" s="79">
        <f>SUM(C17:C22)</f>
        <v>0.186</v>
      </c>
      <c r="D23" s="18"/>
      <c r="E23" s="18"/>
    </row>
    <row r="24" ht="20.25" customHeight="1">
      <c r="A24" s="17"/>
      <c r="B24" s="77"/>
      <c r="C24" s="69"/>
      <c r="D24" s="15"/>
      <c r="E24" s="15"/>
    </row>
    <row r="25" ht="20.25" customHeight="1">
      <c r="A25" t="s" s="55">
        <v>87</v>
      </c>
      <c r="B25" s="76"/>
      <c r="C25" s="71">
        <v>0.07000000000000001</v>
      </c>
      <c r="D25" s="18"/>
      <c r="E25" t="s" s="19">
        <v>88</v>
      </c>
    </row>
    <row r="26" ht="20.25" customHeight="1">
      <c r="A26" t="s" s="55">
        <v>89</v>
      </c>
      <c r="B26" s="77"/>
      <c r="C26" s="69">
        <v>0.006</v>
      </c>
      <c r="D26" s="15"/>
      <c r="E26" s="15"/>
    </row>
    <row r="27" ht="24.75" customHeight="1">
      <c r="A27" t="s" s="55">
        <v>90</v>
      </c>
      <c r="B27" s="76"/>
      <c r="C27" s="71">
        <v>0.008</v>
      </c>
      <c r="D27" s="18"/>
      <c r="E27" s="18"/>
    </row>
    <row r="28" ht="20.25" customHeight="1">
      <c r="A28" t="s" s="55">
        <v>91</v>
      </c>
      <c r="B28" s="77"/>
      <c r="C28" s="69">
        <v>0.004</v>
      </c>
      <c r="D28" s="15"/>
      <c r="E28" s="15"/>
    </row>
    <row r="29" ht="20.25" customHeight="1">
      <c r="A29" t="s" s="65">
        <v>92</v>
      </c>
      <c r="B29" s="78"/>
      <c r="C29" s="79">
        <f>SUM(C25:C28)</f>
        <v>0.08799999999999999</v>
      </c>
      <c r="D29" s="18"/>
      <c r="E29" s="18"/>
    </row>
    <row r="30" ht="20.25" customHeight="1">
      <c r="A30" s="17"/>
      <c r="B30" s="77"/>
      <c r="C30" s="69"/>
      <c r="D30" s="15"/>
      <c r="E30" s="15"/>
    </row>
    <row r="31" ht="20.25" customHeight="1">
      <c r="A31" t="s" s="80">
        <v>93</v>
      </c>
      <c r="B31" s="76"/>
      <c r="C31" s="71"/>
      <c r="D31" s="18"/>
      <c r="E31" s="18"/>
    </row>
    <row r="32" ht="20.25" customHeight="1">
      <c r="A32" t="s" s="55">
        <v>94</v>
      </c>
      <c r="B32" s="81"/>
      <c r="C32" s="69">
        <v>0.01</v>
      </c>
      <c r="D32" s="15"/>
      <c r="E32" t="s" s="16">
        <v>95</v>
      </c>
    </row>
    <row r="33" ht="20.25" customHeight="1">
      <c r="A33" t="s" s="55">
        <v>96</v>
      </c>
      <c r="B33" s="76"/>
      <c r="C33" s="71">
        <v>0.006</v>
      </c>
      <c r="D33" s="18"/>
      <c r="E33" s="19"/>
    </row>
    <row r="34" ht="20.25" customHeight="1">
      <c r="A34" t="s" s="55">
        <v>97</v>
      </c>
      <c r="B34" s="77"/>
      <c r="C34" s="69">
        <v>0.008</v>
      </c>
      <c r="D34" s="15"/>
      <c r="E34" t="s" s="16">
        <v>98</v>
      </c>
    </row>
    <row r="35" ht="20.25" customHeight="1">
      <c r="A35" t="s" s="55">
        <v>99</v>
      </c>
      <c r="B35" s="76"/>
      <c r="C35" s="71">
        <v>0.014</v>
      </c>
      <c r="D35" s="18"/>
      <c r="E35" s="19"/>
    </row>
    <row r="36" ht="20.25" customHeight="1">
      <c r="A36" t="s" s="55">
        <v>100</v>
      </c>
      <c r="B36" s="77"/>
      <c r="C36" s="69">
        <v>0.004</v>
      </c>
      <c r="D36" s="15"/>
      <c r="E36" t="s" s="16">
        <v>101</v>
      </c>
    </row>
    <row r="37" ht="20.25" customHeight="1">
      <c r="A37" t="s" s="55">
        <v>102</v>
      </c>
      <c r="B37" s="76"/>
      <c r="C37" s="71">
        <v>0.004</v>
      </c>
      <c r="D37" s="18"/>
      <c r="E37" t="s" s="82">
        <v>103</v>
      </c>
    </row>
    <row r="38" ht="20.25" customHeight="1">
      <c r="A38" t="s" s="55">
        <v>104</v>
      </c>
      <c r="B38" s="77"/>
      <c r="C38" s="69">
        <v>0.004</v>
      </c>
      <c r="D38" s="15"/>
      <c r="E38" t="s" s="16">
        <v>105</v>
      </c>
    </row>
    <row r="39" ht="20.25" customHeight="1">
      <c r="A39" t="s" s="55">
        <v>106</v>
      </c>
      <c r="B39" s="76"/>
      <c r="C39" s="71">
        <v>0</v>
      </c>
      <c r="D39" s="18"/>
      <c r="E39" t="s" s="19">
        <v>107</v>
      </c>
    </row>
    <row r="40" ht="20.25" customHeight="1">
      <c r="A40" t="s" s="55">
        <v>108</v>
      </c>
      <c r="B40" s="77"/>
      <c r="C40" s="69">
        <v>0.024</v>
      </c>
      <c r="D40" s="15"/>
      <c r="E40" t="s" s="16">
        <v>109</v>
      </c>
    </row>
    <row r="41" ht="20.25" customHeight="1">
      <c r="A41" t="s" s="55">
        <v>110</v>
      </c>
      <c r="B41" s="76"/>
      <c r="C41" s="71">
        <v>0.004</v>
      </c>
      <c r="D41" s="18"/>
      <c r="E41" t="s" s="82">
        <v>103</v>
      </c>
    </row>
    <row r="42" ht="20.25" customHeight="1">
      <c r="A42" t="s" s="55">
        <v>111</v>
      </c>
      <c r="B42" s="77"/>
      <c r="C42" s="69">
        <v>0.003</v>
      </c>
      <c r="D42" s="15"/>
      <c r="E42" s="16"/>
    </row>
    <row r="43" ht="20.25" customHeight="1">
      <c r="A43" t="s" s="55">
        <v>112</v>
      </c>
      <c r="B43" s="76"/>
      <c r="C43" s="71">
        <v>0.004</v>
      </c>
      <c r="D43" s="18"/>
      <c r="E43" t="s" s="19">
        <v>113</v>
      </c>
    </row>
    <row r="44" ht="20.25" customHeight="1">
      <c r="A44" t="s" s="55">
        <v>114</v>
      </c>
      <c r="B44" s="77"/>
      <c r="C44" s="69">
        <v>0.003</v>
      </c>
      <c r="D44" s="15"/>
      <c r="E44" t="s" s="83">
        <v>103</v>
      </c>
    </row>
    <row r="45" ht="20.25" customHeight="1">
      <c r="A45" t="s" s="55">
        <v>115</v>
      </c>
      <c r="B45" s="76"/>
      <c r="C45" s="71">
        <v>0.004</v>
      </c>
      <c r="D45" s="18"/>
      <c r="E45" t="s" s="82">
        <v>103</v>
      </c>
    </row>
    <row r="46" ht="20.25" customHeight="1">
      <c r="A46" t="s" s="55">
        <v>116</v>
      </c>
      <c r="B46" s="77"/>
      <c r="C46" s="69">
        <v>0.012</v>
      </c>
      <c r="D46" s="15"/>
      <c r="E46" s="16"/>
    </row>
    <row r="47" ht="20.25" customHeight="1">
      <c r="A47" t="s" s="80">
        <v>117</v>
      </c>
      <c r="B47" s="78"/>
      <c r="C47" s="79">
        <f>SUM(C31:C46)</f>
        <v>0.104</v>
      </c>
      <c r="D47" s="18"/>
      <c r="E47" s="18"/>
    </row>
    <row r="48" ht="20.25" customHeight="1">
      <c r="A48" s="17"/>
      <c r="B48" s="77"/>
      <c r="C48" s="69"/>
      <c r="D48" s="15"/>
      <c r="E48" s="15"/>
    </row>
    <row r="49" ht="20.25" customHeight="1">
      <c r="A49" t="s" s="65">
        <v>118</v>
      </c>
      <c r="B49" s="78"/>
      <c r="C49" s="79">
        <f>(C23+C29+C47)</f>
        <v>0.378</v>
      </c>
      <c r="D49" s="18"/>
      <c r="E49" s="18"/>
    </row>
    <row r="50" ht="20.25" customHeight="1">
      <c r="A50" s="17"/>
      <c r="B50" s="77"/>
      <c r="C50" s="84"/>
      <c r="D50" s="15"/>
      <c r="E50" s="15"/>
    </row>
    <row r="51" ht="20.25" customHeight="1">
      <c r="A51" t="s" s="65">
        <v>119</v>
      </c>
      <c r="B51" s="78"/>
      <c r="C51" s="79">
        <f>(C14-C49)</f>
        <v>0.116</v>
      </c>
      <c r="D51" s="18"/>
      <c r="E51" t="s" s="19">
        <v>120</v>
      </c>
    </row>
    <row r="52" ht="20.25" customHeight="1">
      <c r="A52" t="s" s="65">
        <v>121</v>
      </c>
      <c r="B52" s="78"/>
      <c r="C52" s="79">
        <v>0.007</v>
      </c>
      <c r="D52" s="18"/>
      <c r="E52" t="s" s="19">
        <v>122</v>
      </c>
    </row>
    <row r="53" ht="20.25" customHeight="1">
      <c r="A53" s="65"/>
      <c r="B53" s="78"/>
      <c r="C53" s="79"/>
      <c r="D53" s="18"/>
      <c r="E53" s="19"/>
    </row>
    <row r="54" ht="20.25" customHeight="1">
      <c r="A54" t="s" s="55">
        <v>123</v>
      </c>
      <c r="B54" s="81"/>
      <c r="C54" s="69">
        <v>0</v>
      </c>
      <c r="D54" s="15"/>
      <c r="E54" t="s" s="16">
        <v>107</v>
      </c>
    </row>
    <row r="55" ht="20.25" customHeight="1">
      <c r="A55" t="s" s="80">
        <v>124</v>
      </c>
      <c r="B55" s="78"/>
      <c r="C55" s="73">
        <f>SUM(C51+C52-C54)</f>
        <v>0.123</v>
      </c>
      <c r="D55" s="18"/>
      <c r="E55" s="18"/>
    </row>
  </sheetData>
  <pageMargins left="0.5" right="0.5" top="0.5" bottom="0.5" header="0.25" footer="0.25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dimension ref="A1:E15"/>
  <sheetViews>
    <sheetView workbookViewId="0" showGridLines="0" defaultGridColor="1"/>
  </sheetViews>
  <sheetFormatPr defaultColWidth="16.3333" defaultRowHeight="18" customHeight="1" outlineLevelRow="0" outlineLevelCol="0"/>
  <cols>
    <col min="1" max="1" width="31.8516" style="85" customWidth="1"/>
    <col min="2" max="2" width="16.3516" style="85" customWidth="1"/>
    <col min="3" max="3" width="5" style="85" customWidth="1"/>
    <col min="4" max="4" width="37.6719" style="85" customWidth="1"/>
    <col min="5" max="5" width="16.3516" style="85" customWidth="1"/>
    <col min="6" max="16384" width="16.3516" style="85" customWidth="1"/>
  </cols>
  <sheetData>
    <row r="1" ht="22.5" customHeight="1">
      <c r="A1" t="s" s="86">
        <v>125</v>
      </c>
      <c r="B1" s="8"/>
      <c r="C1" s="8"/>
      <c r="D1" s="8"/>
      <c r="E1" s="6"/>
    </row>
    <row r="2" ht="20.5" customHeight="1">
      <c r="A2" s="10"/>
      <c r="B2" s="11"/>
      <c r="C2" s="12"/>
      <c r="D2" s="12"/>
      <c r="E2" s="9"/>
    </row>
    <row r="3" ht="22.25" customHeight="1">
      <c r="A3" s="87"/>
      <c r="B3" t="s" s="88">
        <v>2</v>
      </c>
      <c r="C3" s="89"/>
      <c r="D3" t="s" s="89">
        <v>66</v>
      </c>
      <c r="E3" s="9"/>
    </row>
    <row r="4" ht="22.25" customHeight="1">
      <c r="A4" t="s" s="90">
        <v>126</v>
      </c>
      <c r="B4" s="91">
        <f>'Start-up Investment'!E31</f>
        <v>147530</v>
      </c>
      <c r="C4" s="92"/>
      <c r="D4" t="s" s="92">
        <v>2</v>
      </c>
      <c r="E4" s="9"/>
    </row>
    <row r="5" ht="22.25" customHeight="1">
      <c r="A5" t="s" s="90">
        <v>127</v>
      </c>
      <c r="B5" s="93"/>
      <c r="C5" s="94"/>
      <c r="D5" t="s" s="94">
        <v>128</v>
      </c>
      <c r="E5" s="9"/>
    </row>
    <row r="6" ht="22.25" customHeight="1">
      <c r="A6" t="s" s="90">
        <v>129</v>
      </c>
      <c r="B6" s="93">
        <v>50000</v>
      </c>
      <c r="C6" s="95"/>
      <c r="D6" s="95"/>
      <c r="E6" s="9"/>
    </row>
    <row r="7" ht="22.25" customHeight="1">
      <c r="A7" t="s" s="96">
        <v>130</v>
      </c>
      <c r="B7" s="97">
        <f>(B4-B5+B6)</f>
        <v>197530</v>
      </c>
      <c r="C7" s="98"/>
      <c r="D7" t="s" s="98">
        <v>2</v>
      </c>
      <c r="E7" s="9"/>
    </row>
    <row r="8" ht="22.25" customHeight="1">
      <c r="A8" s="87"/>
      <c r="B8" s="91"/>
      <c r="C8" s="95"/>
      <c r="D8" s="95"/>
      <c r="E8" s="9"/>
    </row>
    <row r="9" ht="22.25" customHeight="1">
      <c r="A9" t="s" s="90">
        <v>131</v>
      </c>
      <c r="B9" s="99">
        <v>0</v>
      </c>
      <c r="C9" s="100"/>
      <c r="D9" s="100"/>
      <c r="E9" s="9"/>
    </row>
    <row r="10" ht="22.25" customHeight="1">
      <c r="A10" s="87"/>
      <c r="B10" s="91"/>
      <c r="C10" s="95"/>
      <c r="D10" s="95"/>
      <c r="E10" s="9"/>
    </row>
    <row r="11" ht="22.25" customHeight="1">
      <c r="A11" t="s" s="90">
        <v>132</v>
      </c>
      <c r="B11" s="93">
        <f>(B7-B9)</f>
        <v>197530</v>
      </c>
      <c r="C11" s="100"/>
      <c r="D11" s="100"/>
      <c r="E11" s="9"/>
    </row>
    <row r="12" ht="22.25" customHeight="1">
      <c r="A12" s="90"/>
      <c r="B12" t="s" s="101">
        <v>2</v>
      </c>
      <c r="C12" s="92"/>
      <c r="D12" s="92"/>
      <c r="E12" s="9"/>
    </row>
    <row r="13" ht="22.25" customHeight="1">
      <c r="A13" t="s" s="90">
        <v>133</v>
      </c>
      <c r="B13" t="s" s="102">
        <v>2</v>
      </c>
      <c r="C13" s="94"/>
      <c r="D13" t="s" s="94">
        <v>134</v>
      </c>
      <c r="E13" s="9"/>
    </row>
    <row r="14" ht="22.25" customHeight="1">
      <c r="A14" t="s" s="90">
        <v>135</v>
      </c>
      <c r="B14" s="103"/>
      <c r="C14" s="92"/>
      <c r="D14" t="s" s="92">
        <v>136</v>
      </c>
      <c r="E14" s="9"/>
    </row>
    <row r="15" ht="22.25" customHeight="1">
      <c r="A15" t="s" s="90">
        <v>137</v>
      </c>
      <c r="B15" s="93"/>
      <c r="C15" s="94"/>
      <c r="D15" t="s" s="94">
        <v>136</v>
      </c>
      <c r="E15" s="45"/>
    </row>
  </sheetData>
  <hyperlinks>
    <hyperlink ref="D14" r:id="rId1" location="" tooltip="" display="Use calculator.net or ask your banker"/>
    <hyperlink ref="D15" r:id="rId2" location="" tooltip="" display="Use calculator.net or ask your banker"/>
  </hyperlinks>
  <pageMargins left="1" right="1" top="1" bottom="1" header="0.25" footer="0.25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dimension ref="A1:G34"/>
  <sheetViews>
    <sheetView workbookViewId="0" showGridLines="0" defaultGridColor="1"/>
  </sheetViews>
  <sheetFormatPr defaultColWidth="16.3333" defaultRowHeight="18" customHeight="1" outlineLevelRow="0" outlineLevelCol="0"/>
  <cols>
    <col min="1" max="1" width="31.8516" style="104" customWidth="1"/>
    <col min="2" max="2" width="4.17188" style="104" customWidth="1"/>
    <col min="3" max="3" width="12.1719" style="104" customWidth="1"/>
    <col min="4" max="4" width="4.85156" style="104" customWidth="1"/>
    <col min="5" max="5" width="13.8516" style="104" customWidth="1"/>
    <col min="6" max="6" width="5.35156" style="104" customWidth="1"/>
    <col min="7" max="7" width="26.8516" style="104" customWidth="1"/>
    <col min="8" max="16384" width="16.3516" style="104" customWidth="1"/>
  </cols>
  <sheetData>
    <row r="1" ht="23.25" customHeight="1">
      <c r="A1" t="s" s="105">
        <v>138</v>
      </c>
      <c r="B1" s="106"/>
      <c r="C1" s="106"/>
      <c r="D1" s="106"/>
      <c r="E1" s="106"/>
      <c r="F1" s="106"/>
      <c r="G1" s="106"/>
    </row>
    <row r="2" ht="20.5" customHeight="1">
      <c r="A2" s="107"/>
      <c r="B2" s="11"/>
      <c r="C2" s="108"/>
      <c r="D2" s="109"/>
      <c r="E2" s="109"/>
      <c r="F2" s="109"/>
      <c r="G2" s="110"/>
    </row>
    <row r="3" ht="20.25" customHeight="1">
      <c r="A3" t="s" s="111">
        <v>139</v>
      </c>
      <c r="B3" s="20"/>
      <c r="C3" s="112">
        <f>'Assumptions'!B17</f>
        <v>1400</v>
      </c>
      <c r="D3" s="113"/>
      <c r="E3" t="s" s="62">
        <v>2</v>
      </c>
      <c r="F3" s="113"/>
      <c r="G3" t="s" s="114">
        <v>2</v>
      </c>
    </row>
    <row r="4" ht="20.25" customHeight="1">
      <c r="A4" t="s" s="111">
        <v>25</v>
      </c>
      <c r="B4" s="115"/>
      <c r="C4" s="112">
        <f>'Assumptions'!B20</f>
        <v>1260</v>
      </c>
      <c r="D4" s="116"/>
      <c r="E4" t="s" s="60">
        <v>2</v>
      </c>
      <c r="F4" s="116"/>
      <c r="G4" t="s" s="19">
        <v>2</v>
      </c>
    </row>
    <row r="5" ht="20.25" customHeight="1">
      <c r="A5" s="117"/>
      <c r="B5" s="20"/>
      <c r="C5" s="54"/>
      <c r="D5" s="15"/>
      <c r="E5" s="15"/>
      <c r="F5" s="15"/>
      <c r="G5" s="15"/>
    </row>
    <row r="6" ht="20.25" customHeight="1">
      <c r="A6" t="s" s="118">
        <v>140</v>
      </c>
      <c r="B6" s="115"/>
      <c r="C6" t="s" s="59">
        <v>141</v>
      </c>
      <c r="D6" s="18"/>
      <c r="E6" t="s" s="59">
        <v>142</v>
      </c>
      <c r="F6" s="18"/>
      <c r="G6" t="s" s="119">
        <v>66</v>
      </c>
    </row>
    <row r="7" ht="44.25" customHeight="1">
      <c r="A7" t="s" s="24">
        <v>143</v>
      </c>
      <c r="B7" s="20"/>
      <c r="C7" s="120"/>
      <c r="D7" s="121"/>
      <c r="E7" s="122">
        <v>0</v>
      </c>
      <c r="F7" s="121"/>
      <c r="G7" t="s" s="16">
        <v>144</v>
      </c>
    </row>
    <row r="8" ht="20.25" customHeight="1">
      <c r="A8" t="s" s="24">
        <v>145</v>
      </c>
      <c r="B8" s="115"/>
      <c r="C8" s="123">
        <v>25</v>
      </c>
      <c r="D8" s="124"/>
      <c r="E8" s="125">
        <f>(C4*C8)</f>
        <v>31500</v>
      </c>
      <c r="F8" s="124"/>
      <c r="G8" t="s" s="19">
        <v>146</v>
      </c>
    </row>
    <row r="9" ht="20.25" customHeight="1">
      <c r="A9" t="s" s="24">
        <v>147</v>
      </c>
      <c r="B9" s="20"/>
      <c r="C9" s="120"/>
      <c r="D9" s="121"/>
      <c r="E9" t="s" s="126">
        <v>2</v>
      </c>
      <c r="F9" s="121"/>
      <c r="G9" t="s" s="16">
        <v>148</v>
      </c>
    </row>
    <row r="10" ht="32.25" customHeight="1">
      <c r="A10" t="s" s="24">
        <v>149</v>
      </c>
      <c r="B10" s="115"/>
      <c r="C10" s="127"/>
      <c r="D10" s="124"/>
      <c r="E10" t="s" s="126">
        <v>2</v>
      </c>
      <c r="F10" s="124"/>
      <c r="G10" t="s" s="19">
        <v>150</v>
      </c>
    </row>
    <row r="11" ht="20.25" customHeight="1">
      <c r="A11" t="s" s="24">
        <v>151</v>
      </c>
      <c r="B11" s="20"/>
      <c r="C11" s="120"/>
      <c r="D11" s="121"/>
      <c r="E11" t="s" s="126">
        <v>2</v>
      </c>
      <c r="F11" s="121"/>
      <c r="G11" t="s" s="16">
        <v>2</v>
      </c>
    </row>
    <row r="12" ht="20.25" customHeight="1">
      <c r="A12" t="s" s="24">
        <v>152</v>
      </c>
      <c r="B12" s="115"/>
      <c r="C12" s="127"/>
      <c r="D12" s="124"/>
      <c r="E12" t="s" s="126">
        <v>2</v>
      </c>
      <c r="F12" s="124"/>
      <c r="G12" t="s" s="19">
        <v>153</v>
      </c>
    </row>
    <row r="13" ht="20.25" customHeight="1">
      <c r="A13" s="17"/>
      <c r="B13" s="20"/>
      <c r="C13" s="120"/>
      <c r="D13" s="121"/>
      <c r="E13" s="122"/>
      <c r="F13" s="121"/>
      <c r="G13" s="121"/>
    </row>
    <row r="14" ht="20.25" customHeight="1">
      <c r="A14" t="s" s="24">
        <v>154</v>
      </c>
      <c r="B14" s="115"/>
      <c r="C14" s="123">
        <v>75</v>
      </c>
      <c r="D14" s="124"/>
      <c r="E14" s="125">
        <f>(C4*C14)</f>
        <v>94500</v>
      </c>
      <c r="F14" s="124"/>
      <c r="G14" t="s" s="19">
        <v>155</v>
      </c>
    </row>
    <row r="15" ht="32.25" customHeight="1">
      <c r="A15" t="s" s="24">
        <v>156</v>
      </c>
      <c r="B15" s="20"/>
      <c r="C15" s="120"/>
      <c r="D15" s="121"/>
      <c r="E15" t="s" s="126">
        <v>2</v>
      </c>
      <c r="F15" s="121"/>
      <c r="G15" t="s" s="16">
        <v>157</v>
      </c>
    </row>
    <row r="16" ht="20.25" customHeight="1">
      <c r="A16" t="s" s="24">
        <v>158</v>
      </c>
      <c r="B16" s="115"/>
      <c r="C16" s="127"/>
      <c r="D16" s="124"/>
      <c r="E16" t="s" s="126">
        <v>2</v>
      </c>
      <c r="F16" s="124"/>
      <c r="G16" t="s" s="19">
        <v>159</v>
      </c>
    </row>
    <row r="17" ht="32.25" customHeight="1">
      <c r="A17" t="s" s="24">
        <v>160</v>
      </c>
      <c r="B17" s="20"/>
      <c r="C17" s="120"/>
      <c r="D17" s="121"/>
      <c r="E17" t="s" s="126">
        <v>2</v>
      </c>
      <c r="F17" s="121"/>
      <c r="G17" t="s" s="16">
        <v>161</v>
      </c>
    </row>
    <row r="18" ht="44.25" customHeight="1">
      <c r="A18" t="s" s="24">
        <v>162</v>
      </c>
      <c r="B18" s="115"/>
      <c r="C18" s="127"/>
      <c r="D18" s="124"/>
      <c r="E18" s="122">
        <f>(80*'Assumptions'!B11)</f>
        <v>1200</v>
      </c>
      <c r="F18" s="124"/>
      <c r="G18" t="s" s="19">
        <v>163</v>
      </c>
    </row>
    <row r="19" ht="20.25" customHeight="1">
      <c r="A19" t="s" s="24">
        <v>164</v>
      </c>
      <c r="B19" s="20"/>
      <c r="C19" s="120"/>
      <c r="D19" s="121"/>
      <c r="E19" t="s" s="128">
        <v>2</v>
      </c>
      <c r="F19" s="121"/>
      <c r="G19" s="121"/>
    </row>
    <row r="20" ht="20.25" customHeight="1">
      <c r="A20" t="s" s="24">
        <v>165</v>
      </c>
      <c r="B20" s="115"/>
      <c r="C20" s="127"/>
      <c r="D20" s="124"/>
      <c r="E20" t="s" s="126">
        <v>2</v>
      </c>
      <c r="F20" s="124"/>
      <c r="G20" t="s" s="19">
        <v>2</v>
      </c>
    </row>
    <row r="21" ht="20.25" customHeight="1">
      <c r="A21" t="s" s="24">
        <v>166</v>
      </c>
      <c r="B21" s="20"/>
      <c r="C21" s="129">
        <v>4</v>
      </c>
      <c r="D21" s="121"/>
      <c r="E21" s="130">
        <f>(C4*C21)</f>
        <v>5040</v>
      </c>
      <c r="F21" t="s" s="16">
        <v>167</v>
      </c>
      <c r="G21" t="s" s="16">
        <v>168</v>
      </c>
    </row>
    <row r="22" ht="20.25" customHeight="1">
      <c r="A22" t="s" s="24">
        <v>169</v>
      </c>
      <c r="B22" s="115"/>
      <c r="C22" s="129">
        <v>4</v>
      </c>
      <c r="D22" s="124"/>
      <c r="E22" s="125">
        <f>(C4*C22)</f>
        <v>5040</v>
      </c>
      <c r="F22" t="s" s="19">
        <v>167</v>
      </c>
      <c r="G22" t="s" s="19">
        <v>170</v>
      </c>
    </row>
    <row r="23" ht="32.25" customHeight="1">
      <c r="A23" t="s" s="24">
        <v>171</v>
      </c>
      <c r="B23" s="20"/>
      <c r="C23" s="120"/>
      <c r="D23" s="121"/>
      <c r="E23" s="122">
        <v>3500</v>
      </c>
      <c r="F23" t="s" s="16">
        <v>167</v>
      </c>
      <c r="G23" t="s" s="16">
        <v>172</v>
      </c>
    </row>
    <row r="24" ht="20.25" customHeight="1">
      <c r="A24" t="s" s="24">
        <v>173</v>
      </c>
      <c r="B24" s="115"/>
      <c r="C24" s="127"/>
      <c r="D24" s="124"/>
      <c r="E24" s="122">
        <v>2500</v>
      </c>
      <c r="F24" s="124"/>
      <c r="G24" t="s" s="19">
        <v>2</v>
      </c>
    </row>
    <row r="25" ht="20.25" customHeight="1">
      <c r="A25" t="s" s="24">
        <v>174</v>
      </c>
      <c r="B25" s="20"/>
      <c r="C25" s="120"/>
      <c r="D25" s="121"/>
      <c r="E25" s="122">
        <v>1000</v>
      </c>
      <c r="F25" s="121"/>
      <c r="G25" t="s" s="16">
        <v>2</v>
      </c>
    </row>
    <row r="26" ht="32.25" customHeight="1">
      <c r="A26" t="s" s="24">
        <v>175</v>
      </c>
      <c r="B26" s="115"/>
      <c r="C26" s="127"/>
      <c r="D26" s="124"/>
      <c r="E26" s="122">
        <v>2500</v>
      </c>
      <c r="F26" s="124"/>
      <c r="G26" t="s" s="19">
        <v>176</v>
      </c>
    </row>
    <row r="27" ht="32.25" customHeight="1">
      <c r="A27" t="s" s="24">
        <v>177</v>
      </c>
      <c r="B27" s="20"/>
      <c r="C27" s="120"/>
      <c r="D27" s="121"/>
      <c r="E27" s="122">
        <v>750</v>
      </c>
      <c r="F27" s="121"/>
      <c r="G27" t="s" s="16">
        <v>178</v>
      </c>
    </row>
    <row r="28" ht="20.25" customHeight="1">
      <c r="A28" t="s" s="24">
        <v>179</v>
      </c>
      <c r="B28" s="115"/>
      <c r="C28" s="127"/>
      <c r="D28" s="124"/>
      <c r="E28" t="s" s="126">
        <v>2</v>
      </c>
      <c r="F28" s="124"/>
      <c r="G28" s="124"/>
    </row>
    <row r="29" ht="20.25" customHeight="1">
      <c r="A29" t="s" s="24">
        <v>180</v>
      </c>
      <c r="B29" s="20"/>
      <c r="C29" s="120"/>
      <c r="D29" s="121"/>
      <c r="E29" t="s" s="131">
        <v>2</v>
      </c>
      <c r="F29" s="121"/>
      <c r="G29" t="s" s="16">
        <v>2</v>
      </c>
    </row>
    <row r="30" ht="20.25" customHeight="1">
      <c r="A30" t="s" s="24">
        <v>181</v>
      </c>
      <c r="B30" s="115"/>
      <c r="C30" s="127"/>
      <c r="D30" s="124"/>
      <c r="E30" t="s" s="131">
        <v>2</v>
      </c>
      <c r="F30" s="124"/>
      <c r="G30" t="s" s="19">
        <v>2</v>
      </c>
    </row>
    <row r="31" ht="20.25" customHeight="1">
      <c r="A31" t="s" s="111">
        <v>182</v>
      </c>
      <c r="B31" s="20"/>
      <c r="C31" s="132"/>
      <c r="D31" s="133"/>
      <c r="E31" s="134">
        <f>SUM(E7:E30)</f>
        <v>147530</v>
      </c>
      <c r="F31" s="133"/>
      <c r="G31" s="133"/>
    </row>
    <row r="32" ht="20.25" customHeight="1">
      <c r="A32" t="s" s="111">
        <v>183</v>
      </c>
      <c r="B32" s="115"/>
      <c r="C32" s="57"/>
      <c r="D32" s="18"/>
      <c r="E32" s="135">
        <f>(E31/C4)</f>
        <v>117.087301587302</v>
      </c>
      <c r="F32" s="18"/>
      <c r="G32" s="18"/>
    </row>
    <row r="33" ht="20.25" customHeight="1">
      <c r="A33" s="136"/>
      <c r="B33" s="20"/>
      <c r="C33" s="54"/>
      <c r="D33" s="15"/>
      <c r="E33" s="133"/>
      <c r="F33" s="15"/>
      <c r="G33" s="15"/>
    </row>
    <row r="34" ht="20.25" customHeight="1">
      <c r="A34" s="136"/>
      <c r="B34" s="115"/>
      <c r="C34" s="57"/>
      <c r="D34" s="18"/>
      <c r="E34" s="137"/>
      <c r="F34" t="s" s="19">
        <v>167</v>
      </c>
      <c r="G34" t="s" s="19">
        <v>184</v>
      </c>
    </row>
  </sheetData>
  <pageMargins left="0.5" right="0.75" top="0.5" bottom="0.5" header="0.25" footer="0.25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dimension ref="A1:S44"/>
  <sheetViews>
    <sheetView workbookViewId="0" showGridLines="0" defaultGridColor="1"/>
  </sheetViews>
  <sheetFormatPr defaultColWidth="8.83333" defaultRowHeight="14" customHeight="1" outlineLevelRow="0" outlineLevelCol="0"/>
  <cols>
    <col min="1" max="1" width="23" style="138" customWidth="1"/>
    <col min="2" max="2" width="10.5" style="138" customWidth="1"/>
    <col min="3" max="3" width="3.67188" style="138" customWidth="1"/>
    <col min="4" max="4" width="7.85156" style="138" customWidth="1"/>
    <col min="5" max="5" width="3" style="138" customWidth="1"/>
    <col min="6" max="7" width="9.67188" style="138" customWidth="1"/>
    <col min="8" max="8" width="8.85156" style="138" customWidth="1"/>
    <col min="9" max="9" width="9.35156" style="138" customWidth="1"/>
    <col min="10" max="10" width="9.17188" style="138" customWidth="1"/>
    <col min="11" max="11" width="9" style="138" customWidth="1"/>
    <col min="12" max="18" width="8.85156" style="138" customWidth="1"/>
    <col min="19" max="19" width="14.3516" style="138" customWidth="1"/>
    <col min="20" max="16384" width="8.85156" style="138" customWidth="1"/>
  </cols>
  <sheetData>
    <row r="1" ht="32.75" customHeight="1">
      <c r="A1" t="s" s="139">
        <v>185</v>
      </c>
      <c r="B1" s="140"/>
      <c r="C1" s="140"/>
      <c r="D1" s="140"/>
      <c r="E1" s="140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  <c r="Q1" s="141"/>
      <c r="R1" s="141"/>
      <c r="S1" s="141"/>
    </row>
    <row r="2" ht="17.75" customHeight="1">
      <c r="A2" t="s" s="142">
        <v>186</v>
      </c>
      <c r="B2" t="s" s="143">
        <v>2</v>
      </c>
      <c r="C2" s="144"/>
      <c r="D2" s="144"/>
      <c r="E2" s="144"/>
      <c r="F2" s="145"/>
      <c r="G2" s="145"/>
      <c r="H2" t="s" s="146">
        <v>2</v>
      </c>
      <c r="I2" t="s" s="147">
        <v>2</v>
      </c>
      <c r="J2" s="145"/>
      <c r="K2" s="145"/>
      <c r="L2" s="145"/>
      <c r="M2" s="145"/>
      <c r="N2" s="145"/>
      <c r="O2" s="145"/>
      <c r="P2" s="145"/>
      <c r="Q2" s="145"/>
      <c r="R2" s="145"/>
      <c r="S2" s="145"/>
    </row>
    <row r="3" ht="14.75" customHeight="1">
      <c r="A3" t="s" s="148">
        <v>2</v>
      </c>
      <c r="B3" s="144"/>
      <c r="C3" s="144"/>
      <c r="D3" s="144"/>
      <c r="E3" s="144"/>
      <c r="F3" s="145"/>
      <c r="G3" s="145"/>
      <c r="H3" s="145"/>
      <c r="I3" t="s" s="147">
        <v>2</v>
      </c>
      <c r="J3" s="145"/>
      <c r="K3" s="145"/>
      <c r="L3" s="145"/>
      <c r="M3" s="145"/>
      <c r="N3" s="145"/>
      <c r="O3" s="145"/>
      <c r="P3" s="145"/>
      <c r="Q3" s="145"/>
      <c r="R3" s="145"/>
      <c r="S3" s="145"/>
    </row>
    <row r="4" ht="14.75" customHeight="1">
      <c r="A4" t="s" s="149">
        <v>187</v>
      </c>
      <c r="B4" s="150">
        <f>'Assumptions'!B17</f>
        <v>1400</v>
      </c>
      <c r="C4" s="144"/>
      <c r="D4" s="144"/>
      <c r="E4" s="144"/>
      <c r="F4" s="145"/>
      <c r="G4" s="145"/>
      <c r="H4" s="144"/>
      <c r="I4" s="144"/>
      <c r="J4" s="145"/>
      <c r="K4" s="145"/>
      <c r="L4" s="145"/>
      <c r="M4" s="145"/>
      <c r="N4" s="145"/>
      <c r="O4" s="145"/>
      <c r="P4" s="145"/>
      <c r="Q4" s="145"/>
      <c r="R4" s="145"/>
      <c r="S4" s="145"/>
    </row>
    <row r="5" ht="14.75" customHeight="1">
      <c r="A5" t="s" s="149">
        <v>188</v>
      </c>
      <c r="B5" s="151">
        <f>'Assumptions'!B20</f>
        <v>1260</v>
      </c>
      <c r="C5" s="144"/>
      <c r="D5" s="152"/>
      <c r="E5" s="144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</row>
    <row r="6" ht="14.75" customHeight="1">
      <c r="A6" s="153"/>
      <c r="B6" s="144"/>
      <c r="C6" s="144"/>
      <c r="D6" s="144"/>
      <c r="E6" s="144"/>
      <c r="F6" s="145"/>
      <c r="G6" s="145"/>
      <c r="H6" s="145"/>
      <c r="I6" s="145"/>
      <c r="J6" s="145"/>
      <c r="K6" s="145"/>
      <c r="L6" s="145"/>
      <c r="M6" s="145"/>
      <c r="N6" s="145"/>
      <c r="O6" s="145"/>
      <c r="P6" s="145"/>
      <c r="Q6" s="145"/>
      <c r="R6" s="145"/>
      <c r="S6" s="144"/>
    </row>
    <row r="7" ht="14.75" customHeight="1">
      <c r="A7" t="s" s="154">
        <v>2</v>
      </c>
      <c r="B7" t="s" s="155">
        <v>2</v>
      </c>
      <c r="C7" s="144"/>
      <c r="D7" t="s" s="143">
        <v>189</v>
      </c>
      <c r="E7" s="144"/>
      <c r="F7" t="s" s="155">
        <v>190</v>
      </c>
      <c r="G7" t="s" s="155">
        <v>191</v>
      </c>
      <c r="H7" t="s" s="155">
        <v>192</v>
      </c>
      <c r="I7" t="s" s="155">
        <v>193</v>
      </c>
      <c r="J7" t="s" s="155">
        <v>194</v>
      </c>
      <c r="K7" t="s" s="155">
        <v>195</v>
      </c>
      <c r="L7" t="s" s="155">
        <v>196</v>
      </c>
      <c r="M7" t="s" s="155">
        <v>197</v>
      </c>
      <c r="N7" t="s" s="155">
        <v>198</v>
      </c>
      <c r="O7" t="s" s="155">
        <v>199</v>
      </c>
      <c r="P7" t="s" s="155">
        <v>200</v>
      </c>
      <c r="Q7" t="s" s="155">
        <v>201</v>
      </c>
      <c r="R7" t="s" s="155">
        <v>182</v>
      </c>
      <c r="S7" t="s" s="155">
        <v>202</v>
      </c>
    </row>
    <row r="8" ht="14.75" customHeight="1">
      <c r="A8" s="153"/>
      <c r="B8" s="156"/>
      <c r="C8" s="144"/>
      <c r="D8" t="s" s="157">
        <v>203</v>
      </c>
      <c r="E8" s="158"/>
      <c r="F8" t="s" s="155">
        <v>2</v>
      </c>
      <c r="G8" s="144"/>
      <c r="H8" s="144"/>
      <c r="I8" s="144"/>
      <c r="J8" s="144"/>
      <c r="K8" s="144"/>
      <c r="L8" s="144"/>
      <c r="M8" s="144"/>
      <c r="N8" s="144"/>
      <c r="O8" s="144"/>
      <c r="P8" s="144"/>
      <c r="Q8" s="144"/>
      <c r="R8" t="s" s="155">
        <v>2</v>
      </c>
      <c r="S8" t="s" s="157">
        <v>204</v>
      </c>
    </row>
    <row r="9" ht="14.75" customHeight="1">
      <c r="A9" s="153"/>
      <c r="B9" s="159"/>
      <c r="C9" s="144"/>
      <c r="D9" s="144"/>
      <c r="E9" s="144"/>
      <c r="F9" s="145"/>
      <c r="G9" s="145"/>
      <c r="H9" s="145"/>
      <c r="I9" s="145"/>
      <c r="J9" s="145"/>
      <c r="K9" s="145"/>
      <c r="L9" s="145"/>
      <c r="M9" s="145"/>
      <c r="N9" s="145"/>
      <c r="O9" s="145"/>
      <c r="P9" s="145"/>
      <c r="Q9" s="145"/>
      <c r="R9" s="145"/>
      <c r="S9" s="145"/>
    </row>
    <row r="10" ht="14.75" customHeight="1">
      <c r="A10" t="s" s="160">
        <v>205</v>
      </c>
      <c r="B10" s="159">
        <f>(B5*B11)</f>
        <v>346500</v>
      </c>
      <c r="C10" s="144"/>
      <c r="D10" s="144"/>
      <c r="E10" s="144"/>
      <c r="F10" s="161">
        <f>($B$10*F12)</f>
        <v>23769.9</v>
      </c>
      <c r="G10" s="161">
        <f>($B$10*G12)</f>
        <v>23908.5</v>
      </c>
      <c r="H10" s="161">
        <f>($B$10*H12)</f>
        <v>26022.15</v>
      </c>
      <c r="I10" s="161">
        <f>($B$10*I12)</f>
        <v>22834.35</v>
      </c>
      <c r="J10" s="161">
        <f>($B$10*J12)</f>
        <v>31358.25</v>
      </c>
      <c r="K10" s="161">
        <f>($B$10*K12)</f>
        <v>26472.6</v>
      </c>
      <c r="L10" s="161">
        <f>($B$10*L12)</f>
        <v>27893.25</v>
      </c>
      <c r="M10" s="161">
        <f>($B$10*M12)</f>
        <v>28620.9</v>
      </c>
      <c r="N10" s="161">
        <f>($B$10*N12)</f>
        <v>26091.45</v>
      </c>
      <c r="O10" s="161">
        <f>($B$10*O12)</f>
        <v>26576.55</v>
      </c>
      <c r="P10" s="161">
        <f>($B$10*P12)</f>
        <v>30110.85</v>
      </c>
      <c r="Q10" s="161">
        <f>($B$10*Q12)</f>
        <v>52806.6</v>
      </c>
      <c r="R10" s="161">
        <f>SUM(F10:Q10)</f>
        <v>346465.35</v>
      </c>
      <c r="S10" s="161"/>
    </row>
    <row r="11" ht="14.75" customHeight="1">
      <c r="A11" t="s" s="149">
        <v>206</v>
      </c>
      <c r="B11" s="162">
        <f>'Assumptions'!C39</f>
        <v>275</v>
      </c>
      <c r="C11" s="144"/>
      <c r="D11" s="144"/>
      <c r="E11" s="144"/>
      <c r="F11" s="145"/>
      <c r="G11" s="145"/>
      <c r="H11" s="145"/>
      <c r="I11" s="145"/>
      <c r="J11" s="145"/>
      <c r="K11" s="145"/>
      <c r="L11" s="145"/>
      <c r="M11" s="145"/>
      <c r="N11" s="145"/>
      <c r="O11" s="145"/>
      <c r="P11" s="145"/>
      <c r="Q11" s="145"/>
      <c r="R11" t="s" s="146">
        <v>2</v>
      </c>
      <c r="S11" s="145"/>
    </row>
    <row r="12" ht="14.75" customHeight="1">
      <c r="A12" t="s" s="148">
        <v>207</v>
      </c>
      <c r="B12" s="159"/>
      <c r="C12" s="144"/>
      <c r="D12" s="163">
        <f>SUM(E12:Q12)</f>
        <v>0.9999</v>
      </c>
      <c r="E12" s="164"/>
      <c r="F12" s="165">
        <v>0.06859999999999999</v>
      </c>
      <c r="G12" s="165">
        <v>0.06900000000000001</v>
      </c>
      <c r="H12" s="165">
        <v>0.0751</v>
      </c>
      <c r="I12" s="165">
        <v>0.0659</v>
      </c>
      <c r="J12" s="165">
        <v>0.0905</v>
      </c>
      <c r="K12" s="165">
        <v>0.0764</v>
      </c>
      <c r="L12" s="165">
        <v>0.0805</v>
      </c>
      <c r="M12" s="165">
        <v>0.08260000000000001</v>
      </c>
      <c r="N12" s="165">
        <v>0.07530000000000001</v>
      </c>
      <c r="O12" s="165">
        <v>0.0767</v>
      </c>
      <c r="P12" s="165">
        <v>0.08690000000000001</v>
      </c>
      <c r="Q12" s="165">
        <v>0.1524</v>
      </c>
      <c r="R12" s="166">
        <f>SUM(F12:Q12)</f>
        <v>0.9999</v>
      </c>
      <c r="S12" s="166"/>
    </row>
    <row r="13" ht="14.75" customHeight="1">
      <c r="A13" s="153"/>
      <c r="B13" s="159"/>
      <c r="C13" s="144"/>
      <c r="D13" s="144"/>
      <c r="E13" s="144"/>
      <c r="F13" s="145"/>
      <c r="G13" s="145"/>
      <c r="H13" s="145"/>
      <c r="I13" s="145"/>
      <c r="J13" s="145"/>
      <c r="K13" s="145"/>
      <c r="L13" s="145"/>
      <c r="M13" s="145"/>
      <c r="N13" s="145"/>
      <c r="O13" s="145"/>
      <c r="P13" s="145"/>
      <c r="Q13" s="145"/>
      <c r="R13" t="s" s="146">
        <v>2</v>
      </c>
      <c r="S13" s="145"/>
    </row>
    <row r="14" ht="14.75" customHeight="1">
      <c r="A14" t="s" s="160">
        <v>208</v>
      </c>
      <c r="B14" s="159">
        <f>($D$14*B10)</f>
        <v>200970</v>
      </c>
      <c r="C14" s="144"/>
      <c r="D14" s="164">
        <f>'Assumptions'!C47</f>
        <v>0.58</v>
      </c>
      <c r="E14" t="s" s="167">
        <v>167</v>
      </c>
      <c r="F14" s="161">
        <f>(F10*$D$14)</f>
        <v>13786.542</v>
      </c>
      <c r="G14" s="161">
        <f>(G10*$D$14)</f>
        <v>13866.93</v>
      </c>
      <c r="H14" s="161">
        <f>(H10*$D$14)</f>
        <v>15092.847</v>
      </c>
      <c r="I14" s="161">
        <f>(I10*$D$14)</f>
        <v>13243.923</v>
      </c>
      <c r="J14" s="161">
        <f>(J10*$D$14)</f>
        <v>18187.785</v>
      </c>
      <c r="K14" s="161">
        <f>(K10*$D$14)</f>
        <v>15354.108</v>
      </c>
      <c r="L14" s="161">
        <f>(L10*$D$14)</f>
        <v>16178.085</v>
      </c>
      <c r="M14" s="161">
        <f>(M10*$D$14)</f>
        <v>16600.122</v>
      </c>
      <c r="N14" s="161">
        <f>(N10*$D$14)</f>
        <v>15133.041</v>
      </c>
      <c r="O14" s="161">
        <f>(O10*$D$14)</f>
        <v>15414.399</v>
      </c>
      <c r="P14" s="161">
        <f>(P10*$D$14)</f>
        <v>17464.293</v>
      </c>
      <c r="Q14" s="161">
        <f>(Q10*$D$14)</f>
        <v>30627.828</v>
      </c>
      <c r="R14" s="161">
        <f>SUM(F14:Q14)</f>
        <v>200949.903</v>
      </c>
      <c r="S14" s="165">
        <f>(R14/$R$10)</f>
        <v>0.58</v>
      </c>
    </row>
    <row r="15" ht="14.75" customHeight="1">
      <c r="A15" s="153"/>
      <c r="B15" s="159"/>
      <c r="C15" s="144"/>
      <c r="D15" t="s" s="168">
        <v>2</v>
      </c>
      <c r="E15" s="144"/>
      <c r="F15" s="145"/>
      <c r="G15" s="145"/>
      <c r="H15" s="145"/>
      <c r="I15" s="145"/>
      <c r="J15" s="145"/>
      <c r="K15" s="145"/>
      <c r="L15" s="145"/>
      <c r="M15" s="145"/>
      <c r="N15" s="145"/>
      <c r="O15" s="145"/>
      <c r="P15" s="145"/>
      <c r="Q15" s="145"/>
      <c r="R15" t="s" s="146">
        <v>2</v>
      </c>
      <c r="S15" t="s" s="146">
        <v>2</v>
      </c>
    </row>
    <row r="16" ht="14.75" customHeight="1">
      <c r="A16" t="s" s="160">
        <v>209</v>
      </c>
      <c r="B16" s="159"/>
      <c r="C16" s="144"/>
      <c r="D16" s="144"/>
      <c r="E16" s="144"/>
      <c r="F16" t="s" s="146">
        <v>2</v>
      </c>
      <c r="G16" t="s" s="146">
        <v>2</v>
      </c>
      <c r="H16" t="s" s="146">
        <v>2</v>
      </c>
      <c r="I16" t="s" s="146">
        <v>2</v>
      </c>
      <c r="J16" t="s" s="146">
        <v>2</v>
      </c>
      <c r="K16" t="s" s="146">
        <v>2</v>
      </c>
      <c r="L16" t="s" s="146">
        <v>2</v>
      </c>
      <c r="M16" t="s" s="146">
        <v>2</v>
      </c>
      <c r="N16" t="s" s="146">
        <v>2</v>
      </c>
      <c r="O16" t="s" s="146">
        <v>2</v>
      </c>
      <c r="P16" t="s" s="146">
        <v>2</v>
      </c>
      <c r="Q16" t="s" s="146">
        <v>2</v>
      </c>
      <c r="R16" t="s" s="146">
        <v>2</v>
      </c>
      <c r="S16" t="s" s="146">
        <v>2</v>
      </c>
    </row>
    <row r="17" ht="14.75" customHeight="1">
      <c r="A17" t="s" s="160">
        <v>210</v>
      </c>
      <c r="B17" s="159">
        <f>'Assumptions'!B13</f>
        <v>103740</v>
      </c>
      <c r="C17" s="144"/>
      <c r="D17" s="164">
        <f>'Industry Averages (High Profit)'!C23</f>
        <v>0.186</v>
      </c>
      <c r="E17" s="144"/>
      <c r="F17" s="161">
        <f>($B$17*F44)</f>
        <v>8810.794520547950</v>
      </c>
      <c r="G17" s="161">
        <f>($B$17*G44)</f>
        <v>7958.136986301370</v>
      </c>
      <c r="H17" s="161">
        <f>($B$17*H44)</f>
        <v>8810.794520547950</v>
      </c>
      <c r="I17" s="161">
        <f>($B$17*I44)</f>
        <v>8526.575342465751</v>
      </c>
      <c r="J17" s="161">
        <f>($B$17*J44)</f>
        <v>8810.794520547950</v>
      </c>
      <c r="K17" s="161">
        <f>($B$17*K44)</f>
        <v>8526.575342465751</v>
      </c>
      <c r="L17" s="161">
        <f>($B$17*L44)</f>
        <v>8810.794520547950</v>
      </c>
      <c r="M17" s="161">
        <f>($B$17*M44)</f>
        <v>8810.794520547950</v>
      </c>
      <c r="N17" s="161">
        <f>($B$17*N44)</f>
        <v>8526.575342465751</v>
      </c>
      <c r="O17" s="161">
        <f>($B$17*O44)</f>
        <v>8810.794520547950</v>
      </c>
      <c r="P17" s="161">
        <f>($B$17*P44)</f>
        <v>8526.575342465751</v>
      </c>
      <c r="Q17" s="161">
        <f>($B$17*Q44)</f>
        <v>8810.794520547950</v>
      </c>
      <c r="R17" s="161">
        <f>SUM(F17:Q17)</f>
        <v>103740</v>
      </c>
      <c r="S17" s="165">
        <f>(R17/$R$10)</f>
        <v>0.299423881782118</v>
      </c>
    </row>
    <row r="18" ht="14.75" customHeight="1">
      <c r="A18" t="s" s="160">
        <v>87</v>
      </c>
      <c r="B18" s="159">
        <f>'Assumptions'!B26</f>
        <v>35000</v>
      </c>
      <c r="C18" s="144"/>
      <c r="D18" s="164">
        <f>'Industry Averages (High Profit)'!C25</f>
        <v>0.07000000000000001</v>
      </c>
      <c r="E18" t="s" s="167">
        <v>167</v>
      </c>
      <c r="F18" s="161">
        <f>($B$18/12)</f>
        <v>2916.666666666670</v>
      </c>
      <c r="G18" s="161">
        <f>($B$18/12)</f>
        <v>2916.666666666670</v>
      </c>
      <c r="H18" s="161">
        <f>($B$18/12)</f>
        <v>2916.666666666670</v>
      </c>
      <c r="I18" s="161">
        <f>($B$18/12)</f>
        <v>2916.666666666670</v>
      </c>
      <c r="J18" s="161">
        <f>($B$18/12)</f>
        <v>2916.666666666670</v>
      </c>
      <c r="K18" s="161">
        <f>($B$18/12)</f>
        <v>2916.666666666670</v>
      </c>
      <c r="L18" s="161">
        <f>($B$18/12)</f>
        <v>2916.666666666670</v>
      </c>
      <c r="M18" s="161">
        <f>($B$18/12)</f>
        <v>2916.666666666670</v>
      </c>
      <c r="N18" s="161">
        <f>($B$18/12)</f>
        <v>2916.666666666670</v>
      </c>
      <c r="O18" s="161">
        <f>($B$18/12)</f>
        <v>2916.666666666670</v>
      </c>
      <c r="P18" s="161">
        <f>($B$18/12)</f>
        <v>2916.666666666670</v>
      </c>
      <c r="Q18" s="161">
        <f>($B$18/12)</f>
        <v>2916.666666666670</v>
      </c>
      <c r="R18" s="161">
        <f>SUM(F18:Q18)</f>
        <v>35000</v>
      </c>
      <c r="S18" s="165">
        <f>(R18/$R$10)</f>
        <v>0.101020203030404</v>
      </c>
    </row>
    <row r="19" ht="14.75" customHeight="1">
      <c r="A19" t="s" s="160">
        <v>211</v>
      </c>
      <c r="B19" s="159">
        <f>($B$10*D19)</f>
        <v>6237</v>
      </c>
      <c r="C19" s="144"/>
      <c r="D19" s="164">
        <f>'Industry Averages (High Profit)'!C26+'Industry Averages (High Profit)'!C27+'Industry Averages (High Profit)'!C28</f>
        <v>0.018</v>
      </c>
      <c r="E19" s="144"/>
      <c r="F19" s="161">
        <f>($B$19/12)</f>
        <v>519.75</v>
      </c>
      <c r="G19" s="161">
        <f>($B$19/12)</f>
        <v>519.75</v>
      </c>
      <c r="H19" s="161">
        <f>($B$19/12)</f>
        <v>519.75</v>
      </c>
      <c r="I19" s="161">
        <f>($B$19/12)</f>
        <v>519.75</v>
      </c>
      <c r="J19" s="161">
        <f>($B$19/12)</f>
        <v>519.75</v>
      </c>
      <c r="K19" s="161">
        <f>($B$19/12)</f>
        <v>519.75</v>
      </c>
      <c r="L19" s="161">
        <f>($B$19/12)</f>
        <v>519.75</v>
      </c>
      <c r="M19" s="161">
        <f>($B$19/12)</f>
        <v>519.75</v>
      </c>
      <c r="N19" s="161">
        <f>($B$19/12)</f>
        <v>519.75</v>
      </c>
      <c r="O19" s="161">
        <f>($B$19/12)</f>
        <v>519.75</v>
      </c>
      <c r="P19" s="161">
        <f>($B$19/12)</f>
        <v>519.75</v>
      </c>
      <c r="Q19" s="161">
        <f>($B$19/12)</f>
        <v>519.75</v>
      </c>
      <c r="R19" s="161">
        <f>SUM(F19:Q19)</f>
        <v>6237</v>
      </c>
      <c r="S19" s="165">
        <f>(R19/$R$10)</f>
        <v>0.018001800180018</v>
      </c>
    </row>
    <row r="20" ht="14.75" customHeight="1">
      <c r="A20" t="s" s="160">
        <v>212</v>
      </c>
      <c r="B20" s="159">
        <f>($B$10*$D20)</f>
        <v>10395</v>
      </c>
      <c r="C20" s="144"/>
      <c r="D20" s="164">
        <f>'Assumptions'!C52</f>
        <v>0.03</v>
      </c>
      <c r="E20" t="s" s="167">
        <v>167</v>
      </c>
      <c r="F20" s="161">
        <f>(F10*$D$20)</f>
        <v>713.097</v>
      </c>
      <c r="G20" s="161">
        <f>(G10*$D$20)</f>
        <v>717.255</v>
      </c>
      <c r="H20" s="161">
        <f>(H10*$D$20)</f>
        <v>780.6645</v>
      </c>
      <c r="I20" s="161">
        <f>(I10*$D$20)</f>
        <v>685.0305</v>
      </c>
      <c r="J20" s="161">
        <f>(J10*$D$20)</f>
        <v>940.7474999999999</v>
      </c>
      <c r="K20" s="161">
        <f>(K10*$D$20)</f>
        <v>794.178</v>
      </c>
      <c r="L20" s="161">
        <f>(L10*$D$20)</f>
        <v>836.7975</v>
      </c>
      <c r="M20" s="161">
        <f>(M10*$D$20)</f>
        <v>858.627</v>
      </c>
      <c r="N20" s="161">
        <f>(N10*$D$20)</f>
        <v>782.7435</v>
      </c>
      <c r="O20" s="161">
        <f>(O10*$D$20)</f>
        <v>797.2965</v>
      </c>
      <c r="P20" s="161">
        <f>(P10*$D$20)</f>
        <v>903.3255</v>
      </c>
      <c r="Q20" s="161">
        <f>(Q10*$D$20)</f>
        <v>1584.198</v>
      </c>
      <c r="R20" s="161">
        <f>SUM(F20:Q20)</f>
        <v>10393.9605</v>
      </c>
      <c r="S20" s="165">
        <f>(R20/$R$10)</f>
        <v>0.03</v>
      </c>
    </row>
    <row r="21" ht="14.75" customHeight="1">
      <c r="A21" t="s" s="160">
        <v>96</v>
      </c>
      <c r="B21" s="159">
        <f>($B$10*$D21)</f>
        <v>2079</v>
      </c>
      <c r="C21" s="144"/>
      <c r="D21" s="164">
        <f>'Industry Averages (High Profit)'!C33</f>
        <v>0.006</v>
      </c>
      <c r="E21" s="144"/>
      <c r="F21" s="161">
        <f>($B$21/12)</f>
        <v>173.25</v>
      </c>
      <c r="G21" s="161">
        <f>($B$21/12)</f>
        <v>173.25</v>
      </c>
      <c r="H21" s="161">
        <f>($B$21/12)</f>
        <v>173.25</v>
      </c>
      <c r="I21" s="161">
        <f>($B$21/12)</f>
        <v>173.25</v>
      </c>
      <c r="J21" s="161">
        <f>($B$21/12)</f>
        <v>173.25</v>
      </c>
      <c r="K21" s="161">
        <f>($B$21/12)</f>
        <v>173.25</v>
      </c>
      <c r="L21" s="161">
        <f>($B$21/12)</f>
        <v>173.25</v>
      </c>
      <c r="M21" s="161">
        <f>($B$21/12)</f>
        <v>173.25</v>
      </c>
      <c r="N21" s="161">
        <f>($B$21/12)</f>
        <v>173.25</v>
      </c>
      <c r="O21" s="161">
        <f>($B$21/12)</f>
        <v>173.25</v>
      </c>
      <c r="P21" s="161">
        <f>($B$21/12)</f>
        <v>173.25</v>
      </c>
      <c r="Q21" s="161">
        <f>($B$21/12)</f>
        <v>173.25</v>
      </c>
      <c r="R21" s="161">
        <f>SUM(F21:Q21)</f>
        <v>2079</v>
      </c>
      <c r="S21" s="165">
        <f>(R21/$R$10)</f>
        <v>0.006000600060006</v>
      </c>
    </row>
    <row r="22" ht="14.75" customHeight="1">
      <c r="A22" t="s" s="160">
        <v>164</v>
      </c>
      <c r="B22" s="159">
        <f>($B$10*$D22)</f>
        <v>2772</v>
      </c>
      <c r="C22" s="144"/>
      <c r="D22" s="164">
        <f>'Industry Averages (High Profit)'!C34</f>
        <v>0.008</v>
      </c>
      <c r="E22" s="144"/>
      <c r="F22" s="161">
        <f>($B$22/12)</f>
        <v>231</v>
      </c>
      <c r="G22" s="161">
        <f>($B$22/12)</f>
        <v>231</v>
      </c>
      <c r="H22" s="161">
        <f>($B$22/12)</f>
        <v>231</v>
      </c>
      <c r="I22" s="161">
        <f>($B$22/12)</f>
        <v>231</v>
      </c>
      <c r="J22" s="161">
        <f>($B$22/12)</f>
        <v>231</v>
      </c>
      <c r="K22" s="161">
        <f>($B$22/12)</f>
        <v>231</v>
      </c>
      <c r="L22" s="161">
        <f>($B$22/12)</f>
        <v>231</v>
      </c>
      <c r="M22" s="161">
        <f>($B$22/12)</f>
        <v>231</v>
      </c>
      <c r="N22" s="161">
        <f>($B$22/12)</f>
        <v>231</v>
      </c>
      <c r="O22" s="161">
        <f>($B$22/12)</f>
        <v>231</v>
      </c>
      <c r="P22" s="161">
        <f>($B$22/12)</f>
        <v>231</v>
      </c>
      <c r="Q22" s="161">
        <f>($B$22/12)</f>
        <v>231</v>
      </c>
      <c r="R22" s="161">
        <f>SUM(F22:Q22)</f>
        <v>2772</v>
      </c>
      <c r="S22" s="165">
        <f>(R22/$R$10)</f>
        <v>0.008000800080008001</v>
      </c>
    </row>
    <row r="23" ht="14.75" customHeight="1">
      <c r="A23" t="s" s="160">
        <v>213</v>
      </c>
      <c r="B23" s="159">
        <f>($B$10*$D23)</f>
        <v>4851</v>
      </c>
      <c r="C23" s="144"/>
      <c r="D23" s="164">
        <f>'Industry Averages (High Profit)'!C35</f>
        <v>0.014</v>
      </c>
      <c r="E23" s="144"/>
      <c r="F23" s="161">
        <f>($B$23/12)</f>
        <v>404.25</v>
      </c>
      <c r="G23" s="161">
        <f>($B$23/12)</f>
        <v>404.25</v>
      </c>
      <c r="H23" s="161">
        <f>($B$23/12)</f>
        <v>404.25</v>
      </c>
      <c r="I23" s="161">
        <f>($B$23/12)</f>
        <v>404.25</v>
      </c>
      <c r="J23" s="161">
        <f>($B$23/12)</f>
        <v>404.25</v>
      </c>
      <c r="K23" s="161">
        <f>($B$23/12)</f>
        <v>404.25</v>
      </c>
      <c r="L23" s="161">
        <f>($B$23/12)</f>
        <v>404.25</v>
      </c>
      <c r="M23" s="161">
        <f>($B$23/12)</f>
        <v>404.25</v>
      </c>
      <c r="N23" s="161">
        <f>($B$23/12)</f>
        <v>404.25</v>
      </c>
      <c r="O23" s="161">
        <f>($B$23/12)</f>
        <v>404.25</v>
      </c>
      <c r="P23" s="161">
        <f>($B$23/12)</f>
        <v>404.25</v>
      </c>
      <c r="Q23" s="161">
        <f>($B$23/12)</f>
        <v>404.25</v>
      </c>
      <c r="R23" s="161">
        <f>SUM(F23:Q23)</f>
        <v>4851</v>
      </c>
      <c r="S23" s="165">
        <f>(R23/$R$10)</f>
        <v>0.014001400140014</v>
      </c>
    </row>
    <row r="24" ht="14.75" customHeight="1">
      <c r="A24" t="s" s="160">
        <v>100</v>
      </c>
      <c r="B24" s="159">
        <f>($B$10*$D24)</f>
        <v>1386</v>
      </c>
      <c r="C24" s="144"/>
      <c r="D24" s="164">
        <f>'Industry Averages (High Profit)'!C36</f>
        <v>0.004</v>
      </c>
      <c r="E24" s="144"/>
      <c r="F24" s="145"/>
      <c r="G24" s="161"/>
      <c r="H24" s="145"/>
      <c r="I24" s="145"/>
      <c r="J24" s="145"/>
      <c r="K24" s="145"/>
      <c r="L24" s="145"/>
      <c r="M24" s="145"/>
      <c r="N24" s="145"/>
      <c r="O24" s="161"/>
      <c r="P24" s="145"/>
      <c r="Q24" s="161">
        <f>$B$24</f>
        <v>1386</v>
      </c>
      <c r="R24" s="161">
        <f>SUM(F24:Q24)</f>
        <v>1386</v>
      </c>
      <c r="S24" s="165">
        <f>(R24/$R$10)</f>
        <v>0.004000400040004</v>
      </c>
    </row>
    <row r="25" ht="14.75" customHeight="1">
      <c r="A25" t="s" s="160">
        <v>214</v>
      </c>
      <c r="B25" s="159">
        <f>($B$10*$D25)</f>
        <v>1386</v>
      </c>
      <c r="C25" s="144"/>
      <c r="D25" s="164">
        <f>'Industry Averages (High Profit)'!C37</f>
        <v>0.004</v>
      </c>
      <c r="E25" s="144"/>
      <c r="F25" t="s" s="146">
        <v>2</v>
      </c>
      <c r="G25" s="161">
        <f>($B$25/2)</f>
        <v>693</v>
      </c>
      <c r="H25" t="s" s="146">
        <v>2</v>
      </c>
      <c r="I25" t="s" s="146">
        <v>2</v>
      </c>
      <c r="J25" t="s" s="146">
        <v>2</v>
      </c>
      <c r="K25" t="s" s="146">
        <v>2</v>
      </c>
      <c r="L25" t="s" s="146">
        <v>2</v>
      </c>
      <c r="M25" t="s" s="146">
        <v>2</v>
      </c>
      <c r="N25" t="s" s="146">
        <v>2</v>
      </c>
      <c r="O25" s="161">
        <f>($B$25/2)</f>
        <v>693</v>
      </c>
      <c r="P25" t="s" s="146">
        <v>2</v>
      </c>
      <c r="Q25" t="s" s="146">
        <v>2</v>
      </c>
      <c r="R25" s="161">
        <f>SUM(F25:Q25)</f>
        <v>1386</v>
      </c>
      <c r="S25" s="165">
        <f>(R25/$R$10)</f>
        <v>0.004000400040004</v>
      </c>
    </row>
    <row r="26" ht="14.75" customHeight="1">
      <c r="A26" t="s" s="160">
        <v>215</v>
      </c>
      <c r="B26" s="159">
        <f>($B$10*$D26)</f>
        <v>1386</v>
      </c>
      <c r="C26" s="144"/>
      <c r="D26" s="164">
        <f>'Industry Averages (High Profit)'!C38</f>
        <v>0.004</v>
      </c>
      <c r="E26" s="144"/>
      <c r="F26" t="s" s="146">
        <v>2</v>
      </c>
      <c r="G26" t="s" s="146">
        <v>2</v>
      </c>
      <c r="H26" t="s" s="146">
        <v>2</v>
      </c>
      <c r="I26" t="s" s="146">
        <v>2</v>
      </c>
      <c r="J26" s="161">
        <f>B26</f>
        <v>1386</v>
      </c>
      <c r="K26" t="s" s="146">
        <v>2</v>
      </c>
      <c r="L26" t="s" s="146">
        <v>2</v>
      </c>
      <c r="M26" t="s" s="146">
        <v>2</v>
      </c>
      <c r="N26" t="s" s="146">
        <v>2</v>
      </c>
      <c r="O26" t="s" s="146">
        <v>2</v>
      </c>
      <c r="P26" t="s" s="146">
        <v>2</v>
      </c>
      <c r="Q26" t="s" s="146">
        <v>2</v>
      </c>
      <c r="R26" s="161">
        <f>SUM(F26:Q26)</f>
        <v>1386</v>
      </c>
      <c r="S26" s="165">
        <f>(R26/$R$10)</f>
        <v>0.004000400040004</v>
      </c>
    </row>
    <row r="27" ht="14.75" customHeight="1">
      <c r="A27" t="s" s="160">
        <v>216</v>
      </c>
      <c r="B27" s="159">
        <f>($B$10*$D27)</f>
        <v>8316</v>
      </c>
      <c r="C27" s="144"/>
      <c r="D27" s="164">
        <f>'Industry Averages (High Profit)'!C40</f>
        <v>0.024</v>
      </c>
      <c r="E27" s="144"/>
      <c r="F27" s="161">
        <f>(F10*$D$27)</f>
        <v>570.4776000000001</v>
      </c>
      <c r="G27" s="161">
        <f>(G10*$D$27)</f>
        <v>573.804</v>
      </c>
      <c r="H27" s="161">
        <f>(H10*$D$27)</f>
        <v>624.5316</v>
      </c>
      <c r="I27" s="161">
        <f>(I10*$D$27)</f>
        <v>548.0244</v>
      </c>
      <c r="J27" s="161">
        <f>(J10*$D$27)</f>
        <v>752.598</v>
      </c>
      <c r="K27" s="161">
        <f>(K10*$D$27)</f>
        <v>635.3424</v>
      </c>
      <c r="L27" s="161">
        <f>(L10*$D$27)</f>
        <v>669.438</v>
      </c>
      <c r="M27" s="161">
        <f>(M10*$D$27)</f>
        <v>686.9016</v>
      </c>
      <c r="N27" s="161">
        <f>(N10*$D$27)</f>
        <v>626.1948</v>
      </c>
      <c r="O27" s="161">
        <f>(O10*$D$27)</f>
        <v>637.8372000000001</v>
      </c>
      <c r="P27" s="161">
        <f>(P10*$D$27)</f>
        <v>722.6604</v>
      </c>
      <c r="Q27" s="161">
        <f>(Q10*$D$27)</f>
        <v>1267.3584</v>
      </c>
      <c r="R27" s="161">
        <f>SUM(F27:Q27)</f>
        <v>8315.1684</v>
      </c>
      <c r="S27" s="165">
        <f>(R27/$R$10)</f>
        <v>0.024</v>
      </c>
    </row>
    <row r="28" ht="14.75" customHeight="1">
      <c r="A28" t="s" s="160">
        <v>177</v>
      </c>
      <c r="B28" s="159">
        <f>($B$10*$D28)</f>
        <v>1386</v>
      </c>
      <c r="C28" s="144"/>
      <c r="D28" s="164">
        <f>'Industry Averages (High Profit)'!C41</f>
        <v>0.004</v>
      </c>
      <c r="E28" s="144"/>
      <c r="F28" s="161">
        <f>($B$28/2)</f>
        <v>693</v>
      </c>
      <c r="G28" t="s" s="146">
        <v>2</v>
      </c>
      <c r="H28" t="s" s="146">
        <v>2</v>
      </c>
      <c r="I28" t="s" s="146">
        <v>2</v>
      </c>
      <c r="J28" t="s" s="146">
        <v>2</v>
      </c>
      <c r="K28" t="s" s="146">
        <v>2</v>
      </c>
      <c r="L28" s="161">
        <f>($B$28/2)</f>
        <v>693</v>
      </c>
      <c r="M28" t="s" s="146">
        <v>2</v>
      </c>
      <c r="N28" t="s" s="146">
        <v>2</v>
      </c>
      <c r="O28" t="s" s="146">
        <v>2</v>
      </c>
      <c r="P28" t="s" s="146">
        <v>2</v>
      </c>
      <c r="Q28" t="s" s="146">
        <v>2</v>
      </c>
      <c r="R28" s="161">
        <f>SUM(F28:Q28)</f>
        <v>1386</v>
      </c>
      <c r="S28" s="165">
        <f>(R28/$R$10)</f>
        <v>0.004000400040004</v>
      </c>
    </row>
    <row r="29" ht="14.75" customHeight="1">
      <c r="A29" t="s" s="160">
        <v>111</v>
      </c>
      <c r="B29" s="159">
        <f>($B$10*$D29)</f>
        <v>1039.5</v>
      </c>
      <c r="C29" s="144"/>
      <c r="D29" s="164">
        <f>'Industry Averages (High Profit)'!C42</f>
        <v>0.003</v>
      </c>
      <c r="E29" s="144"/>
      <c r="F29" t="s" s="146">
        <v>2</v>
      </c>
      <c r="G29" t="s" s="146">
        <v>2</v>
      </c>
      <c r="H29" s="161">
        <f>($B$29/3)</f>
        <v>346.5</v>
      </c>
      <c r="I29" t="s" s="146">
        <v>2</v>
      </c>
      <c r="J29" t="s" s="146">
        <v>2</v>
      </c>
      <c r="K29" s="161">
        <f>($B$29/3)</f>
        <v>346.5</v>
      </c>
      <c r="L29" t="s" s="146">
        <v>2</v>
      </c>
      <c r="M29" t="s" s="146">
        <v>2</v>
      </c>
      <c r="N29" t="s" s="146">
        <v>2</v>
      </c>
      <c r="O29" t="s" s="146">
        <v>2</v>
      </c>
      <c r="P29" s="161">
        <f>($B$29/3)</f>
        <v>346.5</v>
      </c>
      <c r="Q29" t="s" s="146">
        <v>2</v>
      </c>
      <c r="R29" s="161">
        <f>SUM(F29:Q29)</f>
        <v>1039.5</v>
      </c>
      <c r="S29" s="165">
        <f>(R29/$R$10)</f>
        <v>0.003000300030003</v>
      </c>
    </row>
    <row r="30" ht="14.75" customHeight="1">
      <c r="A30" t="s" s="160">
        <v>217</v>
      </c>
      <c r="B30" s="159">
        <f>($B$10*$D30)</f>
        <v>1386</v>
      </c>
      <c r="C30" s="144"/>
      <c r="D30" s="164">
        <f>'Industry Averages (High Profit)'!C43</f>
        <v>0.004</v>
      </c>
      <c r="E30" s="144"/>
      <c r="F30" s="161"/>
      <c r="G30" s="161"/>
      <c r="H30" s="161"/>
      <c r="I30" s="161"/>
      <c r="J30" s="161"/>
      <c r="K30" s="161"/>
      <c r="L30" s="161"/>
      <c r="M30" s="161"/>
      <c r="N30" s="161"/>
      <c r="O30" s="161"/>
      <c r="P30" s="161"/>
      <c r="Q30" s="161">
        <f>B30</f>
        <v>1386</v>
      </c>
      <c r="R30" s="161">
        <f>SUM(F30:Q30)</f>
        <v>1386</v>
      </c>
      <c r="S30" s="165">
        <f>(R30/$R$10)</f>
        <v>0.004000400040004</v>
      </c>
    </row>
    <row r="31" ht="14.75" customHeight="1">
      <c r="A31" t="s" s="160">
        <v>218</v>
      </c>
      <c r="B31" s="159">
        <f>($B$10*$D31)</f>
        <v>1039.5</v>
      </c>
      <c r="C31" s="144"/>
      <c r="D31" s="164">
        <f>'Industry Averages (High Profit)'!C44</f>
        <v>0.003</v>
      </c>
      <c r="E31" s="144"/>
      <c r="F31" s="161">
        <f>($B$31/12)</f>
        <v>86.625</v>
      </c>
      <c r="G31" s="161">
        <f>($B$31/12)</f>
        <v>86.625</v>
      </c>
      <c r="H31" s="161">
        <f>($B$31/12)</f>
        <v>86.625</v>
      </c>
      <c r="I31" s="161">
        <f>($B$31/12)</f>
        <v>86.625</v>
      </c>
      <c r="J31" s="161">
        <f>($B$31/12)</f>
        <v>86.625</v>
      </c>
      <c r="K31" s="161">
        <f>($B$31/12)</f>
        <v>86.625</v>
      </c>
      <c r="L31" s="161">
        <f>($B$31/12)</f>
        <v>86.625</v>
      </c>
      <c r="M31" s="161">
        <f>($B$31/12)</f>
        <v>86.625</v>
      </c>
      <c r="N31" s="161">
        <f>($B$31/12)</f>
        <v>86.625</v>
      </c>
      <c r="O31" s="161">
        <f>($B$31/12)</f>
        <v>86.625</v>
      </c>
      <c r="P31" s="161">
        <f>($B$31/12)</f>
        <v>86.625</v>
      </c>
      <c r="Q31" s="161">
        <f>($B$31/12)</f>
        <v>86.625</v>
      </c>
      <c r="R31" s="161">
        <f>SUM(F31:Q31)</f>
        <v>1039.5</v>
      </c>
      <c r="S31" s="165">
        <f>(R31/$R$10)</f>
        <v>0.003000300030003</v>
      </c>
    </row>
    <row r="32" ht="14.75" customHeight="1">
      <c r="A32" t="s" s="160">
        <v>219</v>
      </c>
      <c r="B32" s="159">
        <f>($B$10*$D32)</f>
        <v>1386</v>
      </c>
      <c r="C32" s="144"/>
      <c r="D32" s="164">
        <f>'Industry Averages (High Profit)'!C45</f>
        <v>0.004</v>
      </c>
      <c r="E32" s="144"/>
      <c r="F32" s="161">
        <f>($B$32/12)</f>
        <v>115.5</v>
      </c>
      <c r="G32" s="161">
        <f>($B$32/12)</f>
        <v>115.5</v>
      </c>
      <c r="H32" s="161">
        <f>($B$32/12)</f>
        <v>115.5</v>
      </c>
      <c r="I32" s="161">
        <f>($B$32/12)</f>
        <v>115.5</v>
      </c>
      <c r="J32" s="161">
        <f>($B$32/12)</f>
        <v>115.5</v>
      </c>
      <c r="K32" s="161">
        <f>($B$32/12)</f>
        <v>115.5</v>
      </c>
      <c r="L32" s="161">
        <f>($B$32/12)</f>
        <v>115.5</v>
      </c>
      <c r="M32" s="161">
        <f>($B$32/12)</f>
        <v>115.5</v>
      </c>
      <c r="N32" s="161">
        <f>($B$32/12)</f>
        <v>115.5</v>
      </c>
      <c r="O32" s="161">
        <f>($B$32/12)</f>
        <v>115.5</v>
      </c>
      <c r="P32" s="161">
        <f>($B$32/12)</f>
        <v>115.5</v>
      </c>
      <c r="Q32" s="161">
        <f>($B$32/12)</f>
        <v>115.5</v>
      </c>
      <c r="R32" s="161">
        <f>SUM(F32:Q32)</f>
        <v>1386</v>
      </c>
      <c r="S32" s="165">
        <f>(R32/$R$10)</f>
        <v>0.004000400040004</v>
      </c>
    </row>
    <row r="33" ht="14.75" customHeight="1">
      <c r="A33" t="s" s="160">
        <v>220</v>
      </c>
      <c r="B33" s="159">
        <f>($B$10*$D33)</f>
        <v>4158</v>
      </c>
      <c r="C33" s="144"/>
      <c r="D33" s="164">
        <f>'Industry Averages (High Profit)'!C46</f>
        <v>0.012</v>
      </c>
      <c r="E33" s="144"/>
      <c r="F33" s="161">
        <f>($B$33/12)</f>
        <v>346.5</v>
      </c>
      <c r="G33" s="161">
        <f>($B$33/12)</f>
        <v>346.5</v>
      </c>
      <c r="H33" s="161">
        <f>($B$33/12)</f>
        <v>346.5</v>
      </c>
      <c r="I33" s="161">
        <f>($B$33/12)</f>
        <v>346.5</v>
      </c>
      <c r="J33" s="161">
        <f>($B$33/12)</f>
        <v>346.5</v>
      </c>
      <c r="K33" s="161">
        <f>($B$33/12)</f>
        <v>346.5</v>
      </c>
      <c r="L33" s="161">
        <f>($B$33/12)</f>
        <v>346.5</v>
      </c>
      <c r="M33" s="161">
        <f>($B$33/12)</f>
        <v>346.5</v>
      </c>
      <c r="N33" s="161">
        <f>($B$33/12)</f>
        <v>346.5</v>
      </c>
      <c r="O33" s="161">
        <f>($B$33/12)</f>
        <v>346.5</v>
      </c>
      <c r="P33" s="161">
        <f>($B$33/12)</f>
        <v>346.5</v>
      </c>
      <c r="Q33" s="161">
        <f>($B$33/12)</f>
        <v>346.5</v>
      </c>
      <c r="R33" s="161">
        <f>SUM(F33:Q33)</f>
        <v>4158</v>
      </c>
      <c r="S33" s="165">
        <f>(R33/$R$10)</f>
        <v>0.012001200120012</v>
      </c>
    </row>
    <row r="34" ht="9" customHeight="1">
      <c r="A34" t="s" s="169">
        <v>2</v>
      </c>
      <c r="B34" s="159"/>
      <c r="C34" s="144"/>
      <c r="D34" s="144"/>
      <c r="E34" s="144"/>
      <c r="F34" s="145"/>
      <c r="G34" s="145"/>
      <c r="H34" s="145"/>
      <c r="I34" s="145"/>
      <c r="J34" s="145"/>
      <c r="K34" s="145"/>
      <c r="L34" s="145"/>
      <c r="M34" s="145"/>
      <c r="N34" s="145"/>
      <c r="O34" s="145"/>
      <c r="P34" s="145"/>
      <c r="Q34" t="s" s="146">
        <v>2</v>
      </c>
      <c r="R34" s="161"/>
      <c r="S34" t="s" s="146">
        <v>2</v>
      </c>
    </row>
    <row r="35" ht="14.75" customHeight="1">
      <c r="A35" t="s" s="160">
        <v>221</v>
      </c>
      <c r="B35" s="159">
        <f>SUM(B14:B33)</f>
        <v>388913</v>
      </c>
      <c r="C35" s="144"/>
      <c r="D35" s="144"/>
      <c r="E35" s="144"/>
      <c r="F35" s="161">
        <f>SUM(F14:F34)</f>
        <v>29367.4527872146</v>
      </c>
      <c r="G35" s="161">
        <f>SUM(G14:G34)</f>
        <v>28602.667652968</v>
      </c>
      <c r="H35" s="161">
        <f>SUM(H14:H34)</f>
        <v>30448.8792872146</v>
      </c>
      <c r="I35" s="161">
        <f>SUM(I14:I34)</f>
        <v>27797.0949091324</v>
      </c>
      <c r="J35" s="161">
        <f>SUM(J14:J34)</f>
        <v>34871.4666872146</v>
      </c>
      <c r="K35" s="161">
        <f>SUM(K14:K34)</f>
        <v>30450.2454091324</v>
      </c>
      <c r="L35" s="161">
        <f>SUM(L14:L34)</f>
        <v>31981.6566872146</v>
      </c>
      <c r="M35" s="161">
        <f>SUM(M14:M34)</f>
        <v>31749.9867872146</v>
      </c>
      <c r="N35" s="161">
        <f>SUM(N14:N34)</f>
        <v>29862.0963091324</v>
      </c>
      <c r="O35" s="161">
        <f>SUM(O14:O34)</f>
        <v>31146.8688872146</v>
      </c>
      <c r="P35" s="161">
        <f>SUM(P14:P34)</f>
        <v>32756.8959091324</v>
      </c>
      <c r="Q35" s="161">
        <f>SUM(Q14:Q34)</f>
        <v>49855.7205872146</v>
      </c>
      <c r="R35" s="161">
        <f>SUM(R14:R34)</f>
        <v>388891.0319</v>
      </c>
      <c r="S35" s="165">
        <f>(R35/$R$10)</f>
        <v>1.12245288569261</v>
      </c>
    </row>
    <row r="36" ht="14.75" customHeight="1">
      <c r="A36" s="153"/>
      <c r="B36" s="159"/>
      <c r="C36" s="144"/>
      <c r="D36" s="144"/>
      <c r="E36" s="144"/>
      <c r="F36" s="145"/>
      <c r="G36" s="145"/>
      <c r="H36" s="145"/>
      <c r="I36" s="145"/>
      <c r="J36" s="145"/>
      <c r="K36" s="145"/>
      <c r="L36" s="145"/>
      <c r="M36" s="145"/>
      <c r="N36" s="145"/>
      <c r="O36" s="145"/>
      <c r="P36" s="145"/>
      <c r="Q36" s="145"/>
      <c r="R36" s="145"/>
      <c r="S36" s="145"/>
    </row>
    <row r="37" ht="14.75" customHeight="1">
      <c r="A37" t="s" s="170">
        <v>119</v>
      </c>
      <c r="B37" s="162">
        <f>(B10-B35)</f>
        <v>-42413</v>
      </c>
      <c r="C37" s="171"/>
      <c r="D37" s="172">
        <f>'Industry Averages (High Profit)'!C51</f>
        <v>0.116</v>
      </c>
      <c r="E37" s="171"/>
      <c r="F37" s="173">
        <f>(F10-F35)</f>
        <v>-5597.5527872146</v>
      </c>
      <c r="G37" s="173">
        <f>(G10-G35)</f>
        <v>-4694.167652968</v>
      </c>
      <c r="H37" s="173">
        <f>(H10-H35)</f>
        <v>-4426.7292872146</v>
      </c>
      <c r="I37" s="173">
        <f>(I10-I35)</f>
        <v>-4962.7449091324</v>
      </c>
      <c r="J37" s="173">
        <f>(J10-J35)</f>
        <v>-3513.2166872146</v>
      </c>
      <c r="K37" s="173">
        <f>(K10-K35)</f>
        <v>-3977.6454091324</v>
      </c>
      <c r="L37" s="173">
        <f>(L10-L35)</f>
        <v>-4088.4066872146</v>
      </c>
      <c r="M37" s="173">
        <f>(M10-M35)</f>
        <v>-3129.0867872146</v>
      </c>
      <c r="N37" s="173">
        <f>(N10-N35)</f>
        <v>-3770.6463091324</v>
      </c>
      <c r="O37" s="173">
        <f>(O10-O35)</f>
        <v>-4570.3188872146</v>
      </c>
      <c r="P37" s="173">
        <f>(P10-P35)</f>
        <v>-2646.0459091324</v>
      </c>
      <c r="Q37" s="173">
        <f>(Q10-Q35)</f>
        <v>2950.8794127854</v>
      </c>
      <c r="R37" s="173">
        <f>SUM(F37:Q37)</f>
        <v>-42425.6818999998</v>
      </c>
      <c r="S37" s="174">
        <f>R37/R10</f>
        <v>-0.122452885692609</v>
      </c>
    </row>
    <row r="38" ht="14.75" customHeight="1">
      <c r="A38" t="s" s="160">
        <v>222</v>
      </c>
      <c r="B38" s="159"/>
      <c r="C38" s="144"/>
      <c r="D38" s="144"/>
      <c r="E38" s="144"/>
      <c r="F38" s="161">
        <f>'Funding'!B15</f>
        <v>0</v>
      </c>
      <c r="G38" s="161">
        <f>$F$38</f>
        <v>0</v>
      </c>
      <c r="H38" s="161">
        <f>$F$38</f>
        <v>0</v>
      </c>
      <c r="I38" s="161">
        <f>$F$38</f>
        <v>0</v>
      </c>
      <c r="J38" s="161">
        <f>$F$38</f>
        <v>0</v>
      </c>
      <c r="K38" s="161">
        <f>$F$38</f>
        <v>0</v>
      </c>
      <c r="L38" s="161">
        <f>$F$38</f>
        <v>0</v>
      </c>
      <c r="M38" s="161">
        <f>$F$38</f>
        <v>0</v>
      </c>
      <c r="N38" s="161">
        <f>$F$38</f>
        <v>0</v>
      </c>
      <c r="O38" s="161">
        <f>$F$38</f>
        <v>0</v>
      </c>
      <c r="P38" s="161">
        <f>$F$38</f>
        <v>0</v>
      </c>
      <c r="Q38" s="161">
        <f>$F$38</f>
        <v>0</v>
      </c>
      <c r="R38" s="173">
        <f>SUM(F38:Q38)</f>
        <v>0</v>
      </c>
      <c r="S38" s="145"/>
    </row>
    <row r="39" ht="14.75" customHeight="1">
      <c r="A39" t="s" s="148">
        <v>223</v>
      </c>
      <c r="B39" s="159"/>
      <c r="C39" s="144"/>
      <c r="D39" s="144"/>
      <c r="E39" s="144"/>
      <c r="F39" s="161">
        <f>(F37-F38)</f>
        <v>-5597.5527872146</v>
      </c>
      <c r="G39" s="161">
        <f>(G37-G38)</f>
        <v>-4694.167652968</v>
      </c>
      <c r="H39" s="161">
        <f>(H37-H38)</f>
        <v>-4426.7292872146</v>
      </c>
      <c r="I39" s="161">
        <f>(I37-I38)</f>
        <v>-4962.7449091324</v>
      </c>
      <c r="J39" s="161">
        <f>(J37-J38)</f>
        <v>-3513.2166872146</v>
      </c>
      <c r="K39" s="161">
        <f>(K37-K38)</f>
        <v>-3977.6454091324</v>
      </c>
      <c r="L39" s="161">
        <f>(L37-L38)</f>
        <v>-4088.4066872146</v>
      </c>
      <c r="M39" s="161">
        <f>(M37-M38)</f>
        <v>-3129.0867872146</v>
      </c>
      <c r="N39" s="161">
        <f>(N37-N38)</f>
        <v>-3770.6463091324</v>
      </c>
      <c r="O39" s="161">
        <f>(O37-O38)</f>
        <v>-4570.3188872146</v>
      </c>
      <c r="P39" s="161">
        <f>(P37-P38)</f>
        <v>-2646.0459091324</v>
      </c>
      <c r="Q39" s="161">
        <f>(Q37-Q38)</f>
        <v>2950.8794127854</v>
      </c>
      <c r="R39" s="173">
        <f>SUM(F39:Q39)</f>
        <v>-42425.6818999998</v>
      </c>
      <c r="S39" s="175">
        <f>(R39/R10)</f>
        <v>-0.122452885692609</v>
      </c>
    </row>
    <row r="40" ht="14.75" customHeight="1">
      <c r="A40" s="153"/>
      <c r="B40" s="159"/>
      <c r="C40" s="144"/>
      <c r="D40" s="144"/>
      <c r="E40" s="144"/>
      <c r="F40" s="145"/>
      <c r="G40" s="145"/>
      <c r="H40" s="145"/>
      <c r="I40" s="145"/>
      <c r="J40" s="145"/>
      <c r="K40" s="145"/>
      <c r="L40" s="145"/>
      <c r="M40" s="145"/>
      <c r="N40" s="145"/>
      <c r="O40" s="145"/>
      <c r="P40" s="145"/>
      <c r="Q40" s="145"/>
      <c r="R40" s="145"/>
      <c r="S40" s="145"/>
    </row>
    <row r="41" ht="14.75" customHeight="1">
      <c r="A41" t="s" s="160">
        <v>224</v>
      </c>
      <c r="B41" s="159"/>
      <c r="C41" s="144"/>
      <c r="D41" t="s" s="167">
        <v>2</v>
      </c>
      <c r="E41" s="144"/>
      <c r="F41" s="145"/>
      <c r="G41" s="145"/>
      <c r="H41" s="145"/>
      <c r="I41" s="145"/>
      <c r="J41" s="145"/>
      <c r="K41" s="145"/>
      <c r="L41" s="145"/>
      <c r="M41" s="145"/>
      <c r="N41" s="145"/>
      <c r="O41" s="145"/>
      <c r="P41" s="145"/>
      <c r="Q41" s="145"/>
      <c r="R41" s="145"/>
      <c r="S41" s="145"/>
    </row>
    <row r="42" ht="14.75" customHeight="1">
      <c r="A42" s="160"/>
      <c r="B42" s="159"/>
      <c r="C42" s="144"/>
      <c r="D42" s="167"/>
      <c r="E42" s="144"/>
      <c r="F42" s="145"/>
      <c r="G42" s="145"/>
      <c r="H42" s="145"/>
      <c r="I42" s="145"/>
      <c r="J42" s="145"/>
      <c r="K42" s="145"/>
      <c r="L42" s="145"/>
      <c r="M42" s="145"/>
      <c r="N42" s="145"/>
      <c r="O42" s="145"/>
      <c r="P42" s="145"/>
      <c r="Q42" s="145"/>
      <c r="R42" s="145"/>
      <c r="S42" s="145"/>
    </row>
    <row r="43" ht="14.75" customHeight="1">
      <c r="A43" t="s" s="148">
        <v>225</v>
      </c>
      <c r="B43" s="159"/>
      <c r="C43" s="144"/>
      <c r="D43" s="167"/>
      <c r="E43" s="144"/>
      <c r="F43" s="176">
        <v>31</v>
      </c>
      <c r="G43" s="176">
        <v>28</v>
      </c>
      <c r="H43" s="176">
        <v>31</v>
      </c>
      <c r="I43" s="176">
        <v>30</v>
      </c>
      <c r="J43" s="176">
        <v>31</v>
      </c>
      <c r="K43" s="176">
        <v>30</v>
      </c>
      <c r="L43" s="176">
        <v>31</v>
      </c>
      <c r="M43" s="176">
        <v>31</v>
      </c>
      <c r="N43" s="176">
        <v>30</v>
      </c>
      <c r="O43" s="176">
        <v>31</v>
      </c>
      <c r="P43" s="176">
        <v>30</v>
      </c>
      <c r="Q43" s="176">
        <v>31</v>
      </c>
      <c r="R43" s="176">
        <f>SUM(A43:Q43)</f>
        <v>365</v>
      </c>
      <c r="S43" s="145"/>
    </row>
    <row r="44" ht="14.75" customHeight="1">
      <c r="A44" t="s" s="148">
        <v>226</v>
      </c>
      <c r="B44" s="159"/>
      <c r="C44" s="144"/>
      <c r="D44" s="167"/>
      <c r="E44" s="144"/>
      <c r="F44" s="177">
        <f>(F43/$R$43)</f>
        <v>0.08493150684931509</v>
      </c>
      <c r="G44" s="177">
        <f>(G43/$R$43)</f>
        <v>0.07671232876712331</v>
      </c>
      <c r="H44" s="177">
        <f>(H43/$R$43)</f>
        <v>0.08493150684931509</v>
      </c>
      <c r="I44" s="177">
        <f>(I43/$R$43)</f>
        <v>0.0821917808219178</v>
      </c>
      <c r="J44" s="177">
        <f>(J43/$R$43)</f>
        <v>0.08493150684931509</v>
      </c>
      <c r="K44" s="177">
        <f>(K43/$R$43)</f>
        <v>0.0821917808219178</v>
      </c>
      <c r="L44" s="177">
        <f>(L43/$R$43)</f>
        <v>0.08493150684931509</v>
      </c>
      <c r="M44" s="177">
        <f>(M43/$R$43)</f>
        <v>0.08493150684931509</v>
      </c>
      <c r="N44" s="177">
        <f>(N43/$R$43)</f>
        <v>0.0821917808219178</v>
      </c>
      <c r="O44" s="177">
        <f>(O43/$R$43)</f>
        <v>0.08493150684931509</v>
      </c>
      <c r="P44" s="177">
        <f>(P43/$R$43)</f>
        <v>0.0821917808219178</v>
      </c>
      <c r="Q44" s="177">
        <f>(Q43/$R$43)</f>
        <v>0.08493150684931509</v>
      </c>
      <c r="R44" s="178">
        <f>(R43/$R$43)</f>
        <v>1</v>
      </c>
      <c r="S44" s="145"/>
    </row>
  </sheetData>
  <pageMargins left="0.5" right="0.5" top="0.5" bottom="0.5" header="0.25" footer="0.25"/>
  <pageSetup firstPageNumber="1" fitToHeight="1" fitToWidth="1" scale="66" useFirstPageNumber="0" orientation="landscape" pageOrder="downThenOver"/>
  <headerFooter>
    <oddFooter>&amp;C&amp;"Helvetica Neue,Regular"&amp;12&amp;K000000&amp;P</oddFooter>
  </headerFooter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dimension ref="A1:S44"/>
  <sheetViews>
    <sheetView workbookViewId="0" showGridLines="0" defaultGridColor="1"/>
  </sheetViews>
  <sheetFormatPr defaultColWidth="8.83333" defaultRowHeight="14" customHeight="1" outlineLevelRow="0" outlineLevelCol="0"/>
  <cols>
    <col min="1" max="1" width="23" style="179" customWidth="1"/>
    <col min="2" max="2" width="10.5" style="179" customWidth="1"/>
    <col min="3" max="3" width="3.67188" style="179" customWidth="1"/>
    <col min="4" max="4" width="7.85156" style="179" customWidth="1"/>
    <col min="5" max="5" width="3" style="179" customWidth="1"/>
    <col min="6" max="7" width="9.67188" style="179" customWidth="1"/>
    <col min="8" max="8" width="8.85156" style="179" customWidth="1"/>
    <col min="9" max="9" width="9.35156" style="179" customWidth="1"/>
    <col min="10" max="10" width="9.17188" style="179" customWidth="1"/>
    <col min="11" max="11" width="9" style="179" customWidth="1"/>
    <col min="12" max="18" width="8.85156" style="179" customWidth="1"/>
    <col min="19" max="19" width="7.85156" style="179" customWidth="1"/>
    <col min="20" max="16384" width="8.85156" style="179" customWidth="1"/>
  </cols>
  <sheetData>
    <row r="1" ht="32.75" customHeight="1">
      <c r="A1" t="s" s="139">
        <v>185</v>
      </c>
      <c r="B1" s="140"/>
      <c r="C1" s="140"/>
      <c r="D1" s="140"/>
      <c r="E1" s="140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  <c r="Q1" s="141"/>
      <c r="R1" s="141"/>
      <c r="S1" s="141"/>
    </row>
    <row r="2" ht="17.75" customHeight="1">
      <c r="A2" t="s" s="142">
        <v>227</v>
      </c>
      <c r="B2" t="s" s="143">
        <v>2</v>
      </c>
      <c r="C2" s="144"/>
      <c r="D2" s="144"/>
      <c r="E2" s="144"/>
      <c r="F2" s="145"/>
      <c r="G2" s="145"/>
      <c r="H2" t="s" s="146">
        <v>2</v>
      </c>
      <c r="I2" t="s" s="147">
        <v>2</v>
      </c>
      <c r="J2" s="145"/>
      <c r="K2" s="145"/>
      <c r="L2" s="145"/>
      <c r="M2" s="145"/>
      <c r="N2" s="145"/>
      <c r="O2" s="145"/>
      <c r="P2" s="145"/>
      <c r="Q2" s="145"/>
      <c r="R2" s="145"/>
      <c r="S2" s="145"/>
    </row>
    <row r="3" ht="14.75" customHeight="1">
      <c r="A3" t="s" s="148">
        <v>2</v>
      </c>
      <c r="B3" s="144"/>
      <c r="C3" s="144"/>
      <c r="D3" s="144"/>
      <c r="E3" s="144"/>
      <c r="F3" s="145"/>
      <c r="G3" s="145"/>
      <c r="H3" s="145"/>
      <c r="I3" t="s" s="147">
        <v>2</v>
      </c>
      <c r="J3" s="145"/>
      <c r="K3" s="145"/>
      <c r="L3" s="145"/>
      <c r="M3" s="145"/>
      <c r="N3" s="145"/>
      <c r="O3" s="145"/>
      <c r="P3" s="145"/>
      <c r="Q3" s="145"/>
      <c r="R3" s="145"/>
      <c r="S3" s="145"/>
    </row>
    <row r="4" ht="14.75" customHeight="1">
      <c r="A4" t="s" s="149">
        <v>187</v>
      </c>
      <c r="B4" s="150">
        <f>'Assumptions'!B17</f>
        <v>1400</v>
      </c>
      <c r="C4" s="144"/>
      <c r="D4" s="144"/>
      <c r="E4" s="144"/>
      <c r="F4" s="145"/>
      <c r="G4" s="145"/>
      <c r="H4" s="144"/>
      <c r="I4" s="144"/>
      <c r="J4" s="145"/>
      <c r="K4" s="145"/>
      <c r="L4" s="145"/>
      <c r="M4" s="145"/>
      <c r="N4" s="145"/>
      <c r="O4" s="145"/>
      <c r="P4" s="145"/>
      <c r="Q4" s="145"/>
      <c r="R4" s="145"/>
      <c r="S4" s="145"/>
    </row>
    <row r="5" ht="14.75" customHeight="1">
      <c r="A5" t="s" s="149">
        <v>188</v>
      </c>
      <c r="B5" s="151">
        <f>'Assumptions'!B20</f>
        <v>1260</v>
      </c>
      <c r="C5" s="144"/>
      <c r="D5" s="152">
        <v>1</v>
      </c>
      <c r="E5" s="144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</row>
    <row r="6" ht="14.75" customHeight="1">
      <c r="A6" s="153"/>
      <c r="B6" s="144"/>
      <c r="C6" s="144"/>
      <c r="D6" s="144"/>
      <c r="E6" s="144"/>
      <c r="F6" s="145"/>
      <c r="G6" s="145"/>
      <c r="H6" s="145"/>
      <c r="I6" s="145"/>
      <c r="J6" s="145"/>
      <c r="K6" s="145"/>
      <c r="L6" s="145"/>
      <c r="M6" s="145"/>
      <c r="N6" s="145"/>
      <c r="O6" s="145"/>
      <c r="P6" s="145"/>
      <c r="Q6" s="145"/>
      <c r="R6" s="145"/>
      <c r="S6" s="144"/>
    </row>
    <row r="7" ht="14.75" customHeight="1">
      <c r="A7" t="s" s="154">
        <v>2</v>
      </c>
      <c r="B7" t="s" s="155">
        <v>2</v>
      </c>
      <c r="C7" s="144"/>
      <c r="D7" t="s" s="143">
        <v>189</v>
      </c>
      <c r="E7" s="144"/>
      <c r="F7" t="s" s="155">
        <v>190</v>
      </c>
      <c r="G7" t="s" s="155">
        <v>191</v>
      </c>
      <c r="H7" t="s" s="155">
        <v>192</v>
      </c>
      <c r="I7" t="s" s="155">
        <v>193</v>
      </c>
      <c r="J7" t="s" s="155">
        <v>194</v>
      </c>
      <c r="K7" t="s" s="155">
        <v>195</v>
      </c>
      <c r="L7" t="s" s="155">
        <v>196</v>
      </c>
      <c r="M7" t="s" s="155">
        <v>197</v>
      </c>
      <c r="N7" t="s" s="155">
        <v>198</v>
      </c>
      <c r="O7" t="s" s="155">
        <v>199</v>
      </c>
      <c r="P7" t="s" s="155">
        <v>200</v>
      </c>
      <c r="Q7" t="s" s="155">
        <v>201</v>
      </c>
      <c r="R7" t="s" s="155">
        <v>182</v>
      </c>
      <c r="S7" t="s" s="155">
        <v>202</v>
      </c>
    </row>
    <row r="8" ht="14.75" customHeight="1">
      <c r="A8" s="153"/>
      <c r="B8" s="156"/>
      <c r="C8" s="144"/>
      <c r="D8" t="s" s="157">
        <v>203</v>
      </c>
      <c r="E8" s="158"/>
      <c r="F8" t="s" s="155">
        <v>2</v>
      </c>
      <c r="G8" s="144"/>
      <c r="H8" s="144"/>
      <c r="I8" s="144"/>
      <c r="J8" s="144"/>
      <c r="K8" s="144"/>
      <c r="L8" s="144"/>
      <c r="M8" s="144"/>
      <c r="N8" s="144"/>
      <c r="O8" s="144"/>
      <c r="P8" s="144"/>
      <c r="Q8" s="144"/>
      <c r="R8" t="s" s="155">
        <v>2</v>
      </c>
      <c r="S8" t="s" s="157">
        <v>204</v>
      </c>
    </row>
    <row r="9" ht="14.75" customHeight="1">
      <c r="A9" s="153"/>
      <c r="B9" s="159"/>
      <c r="C9" s="144"/>
      <c r="D9" s="144"/>
      <c r="E9" s="144"/>
      <c r="F9" s="145"/>
      <c r="G9" s="145"/>
      <c r="H9" s="145"/>
      <c r="I9" s="145"/>
      <c r="J9" s="145"/>
      <c r="K9" s="145"/>
      <c r="L9" s="145"/>
      <c r="M9" s="145"/>
      <c r="N9" s="145"/>
      <c r="O9" s="145"/>
      <c r="P9" s="145"/>
      <c r="Q9" s="145"/>
      <c r="R9" s="145"/>
      <c r="S9" s="145"/>
    </row>
    <row r="10" ht="14.75" customHeight="1">
      <c r="A10" t="s" s="160">
        <v>205</v>
      </c>
      <c r="B10" s="159">
        <f>(B5*B11)</f>
        <v>409500</v>
      </c>
      <c r="C10" s="144"/>
      <c r="D10" s="144"/>
      <c r="E10" s="144"/>
      <c r="F10" s="161">
        <f>($B$10*F12)</f>
        <v>28091.7</v>
      </c>
      <c r="G10" s="161">
        <f>($B$10*G12)</f>
        <v>28255.5</v>
      </c>
      <c r="H10" s="161">
        <f>($B$10*H12)</f>
        <v>30753.45</v>
      </c>
      <c r="I10" s="161">
        <f>($B$10*I12)</f>
        <v>26986.05</v>
      </c>
      <c r="J10" s="161">
        <f>($B$10*J12)</f>
        <v>37059.75</v>
      </c>
      <c r="K10" s="161">
        <f>($B$10*K12)</f>
        <v>31285.8</v>
      </c>
      <c r="L10" s="161">
        <f>($B$10*L12)</f>
        <v>32964.75</v>
      </c>
      <c r="M10" s="161">
        <f>($B$10*M12)</f>
        <v>33824.7</v>
      </c>
      <c r="N10" s="161">
        <f>($B$10*N12)</f>
        <v>30835.35</v>
      </c>
      <c r="O10" s="161">
        <f>($B$10*O12)</f>
        <v>31408.65</v>
      </c>
      <c r="P10" s="161">
        <f>($B$10*P12)</f>
        <v>35585.55</v>
      </c>
      <c r="Q10" s="161">
        <f>($B$10*Q12)</f>
        <v>62407.8</v>
      </c>
      <c r="R10" s="161">
        <f>SUM(F10:Q10)</f>
        <v>409459.05</v>
      </c>
      <c r="S10" s="161"/>
    </row>
    <row r="11" ht="14.75" customHeight="1">
      <c r="A11" t="s" s="149">
        <v>228</v>
      </c>
      <c r="B11" s="162">
        <f>'Assumptions'!C40</f>
        <v>325</v>
      </c>
      <c r="C11" s="144"/>
      <c r="D11" s="144"/>
      <c r="E11" s="144"/>
      <c r="F11" s="145"/>
      <c r="G11" s="145"/>
      <c r="H11" s="145"/>
      <c r="I11" s="145"/>
      <c r="J11" s="145"/>
      <c r="K11" s="145"/>
      <c r="L11" s="145"/>
      <c r="M11" s="145"/>
      <c r="N11" s="145"/>
      <c r="O11" s="145"/>
      <c r="P11" s="145"/>
      <c r="Q11" s="145"/>
      <c r="R11" t="s" s="146">
        <v>2</v>
      </c>
      <c r="S11" s="145"/>
    </row>
    <row r="12" ht="14.75" customHeight="1">
      <c r="A12" t="s" s="148">
        <v>207</v>
      </c>
      <c r="B12" s="159"/>
      <c r="C12" s="144"/>
      <c r="D12" s="163">
        <f>SUM(E12:Q12)</f>
        <v>0.9999</v>
      </c>
      <c r="E12" s="164"/>
      <c r="F12" s="165">
        <v>0.06859999999999999</v>
      </c>
      <c r="G12" s="165">
        <v>0.06900000000000001</v>
      </c>
      <c r="H12" s="165">
        <v>0.0751</v>
      </c>
      <c r="I12" s="165">
        <v>0.0659</v>
      </c>
      <c r="J12" s="165">
        <v>0.0905</v>
      </c>
      <c r="K12" s="165">
        <v>0.0764</v>
      </c>
      <c r="L12" s="165">
        <v>0.0805</v>
      </c>
      <c r="M12" s="165">
        <v>0.08260000000000001</v>
      </c>
      <c r="N12" s="165">
        <v>0.07530000000000001</v>
      </c>
      <c r="O12" s="165">
        <v>0.0767</v>
      </c>
      <c r="P12" s="165">
        <v>0.08690000000000001</v>
      </c>
      <c r="Q12" s="165">
        <v>0.1524</v>
      </c>
      <c r="R12" s="166">
        <f>SUM(F12:Q12)</f>
        <v>0.9999</v>
      </c>
      <c r="S12" s="166"/>
    </row>
    <row r="13" ht="14.75" customHeight="1">
      <c r="A13" s="153"/>
      <c r="B13" s="159"/>
      <c r="C13" s="144"/>
      <c r="D13" s="144"/>
      <c r="E13" s="144"/>
      <c r="F13" s="145"/>
      <c r="G13" s="145"/>
      <c r="H13" s="145"/>
      <c r="I13" s="145"/>
      <c r="J13" s="145"/>
      <c r="K13" s="145"/>
      <c r="L13" s="145"/>
      <c r="M13" s="145"/>
      <c r="N13" s="145"/>
      <c r="O13" s="145"/>
      <c r="P13" s="145"/>
      <c r="Q13" s="145"/>
      <c r="R13" t="s" s="146">
        <v>2</v>
      </c>
      <c r="S13" s="145"/>
    </row>
    <row r="14" ht="14.75" customHeight="1">
      <c r="A14" t="s" s="160">
        <v>208</v>
      </c>
      <c r="B14" s="159">
        <f>($D$14*B10)</f>
        <v>233415</v>
      </c>
      <c r="C14" s="144"/>
      <c r="D14" s="164">
        <f>'Assumptions'!C46</f>
        <v>0.57</v>
      </c>
      <c r="E14" t="s" s="167">
        <v>167</v>
      </c>
      <c r="F14" s="161">
        <f>(F10*$D$14)</f>
        <v>16012.269</v>
      </c>
      <c r="G14" s="161">
        <f>(G10*$D$14)</f>
        <v>16105.635</v>
      </c>
      <c r="H14" s="161">
        <f>(H10*$D$14)</f>
        <v>17529.4665</v>
      </c>
      <c r="I14" s="161">
        <f>(I10*$D$14)</f>
        <v>15382.0485</v>
      </c>
      <c r="J14" s="161">
        <f>(J10*$D$14)</f>
        <v>21124.0575</v>
      </c>
      <c r="K14" s="161">
        <f>(K10*$D$14)</f>
        <v>17832.906</v>
      </c>
      <c r="L14" s="161">
        <f>(L10*$D$14)</f>
        <v>18789.9075</v>
      </c>
      <c r="M14" s="161">
        <f>(M10*$D$14)</f>
        <v>19280.079</v>
      </c>
      <c r="N14" s="161">
        <f>(N10*$D$14)</f>
        <v>17576.1495</v>
      </c>
      <c r="O14" s="161">
        <f>(O10*$D$14)</f>
        <v>17902.9305</v>
      </c>
      <c r="P14" s="161">
        <f>(P10*$D$14)</f>
        <v>20283.7635</v>
      </c>
      <c r="Q14" s="161">
        <f>(Q10*$D$14)</f>
        <v>35572.446</v>
      </c>
      <c r="R14" s="161">
        <f>SUM(F14:Q14)</f>
        <v>233391.6585</v>
      </c>
      <c r="S14" s="165">
        <f>(R14/$R$10)</f>
        <v>0.57</v>
      </c>
    </row>
    <row r="15" ht="14.75" customHeight="1">
      <c r="A15" s="153"/>
      <c r="B15" s="159"/>
      <c r="C15" s="144"/>
      <c r="D15" t="s" s="168">
        <v>2</v>
      </c>
      <c r="E15" s="144"/>
      <c r="F15" s="145"/>
      <c r="G15" s="145"/>
      <c r="H15" s="145"/>
      <c r="I15" s="145"/>
      <c r="J15" s="145"/>
      <c r="K15" s="145"/>
      <c r="L15" s="145"/>
      <c r="M15" s="145"/>
      <c r="N15" s="145"/>
      <c r="O15" s="145"/>
      <c r="P15" s="145"/>
      <c r="Q15" s="145"/>
      <c r="R15" t="s" s="146">
        <v>2</v>
      </c>
      <c r="S15" t="s" s="146">
        <v>2</v>
      </c>
    </row>
    <row r="16" ht="14.75" customHeight="1">
      <c r="A16" t="s" s="160">
        <v>209</v>
      </c>
      <c r="B16" s="159"/>
      <c r="C16" s="144"/>
      <c r="D16" s="144"/>
      <c r="E16" s="144"/>
      <c r="F16" t="s" s="146">
        <v>2</v>
      </c>
      <c r="G16" t="s" s="146">
        <v>2</v>
      </c>
      <c r="H16" t="s" s="146">
        <v>2</v>
      </c>
      <c r="I16" t="s" s="146">
        <v>2</v>
      </c>
      <c r="J16" t="s" s="146">
        <v>2</v>
      </c>
      <c r="K16" t="s" s="146">
        <v>2</v>
      </c>
      <c r="L16" t="s" s="146">
        <v>2</v>
      </c>
      <c r="M16" t="s" s="146">
        <v>2</v>
      </c>
      <c r="N16" t="s" s="146">
        <v>2</v>
      </c>
      <c r="O16" t="s" s="146">
        <v>2</v>
      </c>
      <c r="P16" t="s" s="146">
        <v>2</v>
      </c>
      <c r="Q16" t="s" s="146">
        <v>2</v>
      </c>
      <c r="R16" t="s" s="146">
        <v>2</v>
      </c>
      <c r="S16" t="s" s="146">
        <v>2</v>
      </c>
    </row>
    <row r="17" ht="14.75" customHeight="1">
      <c r="A17" t="s" s="160">
        <v>210</v>
      </c>
      <c r="B17" s="159">
        <f>('Proforma P&amp;L Year 1'!B17*1.03)</f>
        <v>106852.2</v>
      </c>
      <c r="C17" s="144"/>
      <c r="D17" s="164">
        <f>'Industry Averages (High Profit)'!C23</f>
        <v>0.186</v>
      </c>
      <c r="E17" s="144"/>
      <c r="F17" s="161">
        <f>($B$17*F44)</f>
        <v>9075.118356164390</v>
      </c>
      <c r="G17" s="161">
        <f>($B$17*G44)</f>
        <v>8196.881095890411</v>
      </c>
      <c r="H17" s="161">
        <f>($B$17*H44)</f>
        <v>9075.118356164390</v>
      </c>
      <c r="I17" s="161">
        <f>($B$17*I44)</f>
        <v>8782.372602739730</v>
      </c>
      <c r="J17" s="161">
        <f>($B$17*J44)</f>
        <v>9075.118356164390</v>
      </c>
      <c r="K17" s="161">
        <f>($B$17*K44)</f>
        <v>8782.372602739730</v>
      </c>
      <c r="L17" s="161">
        <f>($B$17*L44)</f>
        <v>9075.118356164390</v>
      </c>
      <c r="M17" s="161">
        <f>($B$17*M44)</f>
        <v>9075.118356164390</v>
      </c>
      <c r="N17" s="161">
        <f>($B$17*N44)</f>
        <v>8782.372602739730</v>
      </c>
      <c r="O17" s="161">
        <f>($B$17*O44)</f>
        <v>9075.118356164390</v>
      </c>
      <c r="P17" s="161">
        <f>($B$17*P44)</f>
        <v>8782.372602739730</v>
      </c>
      <c r="Q17" s="161">
        <f>($B$17*Q44)</f>
        <v>9075.118356164390</v>
      </c>
      <c r="R17" s="161">
        <f>SUM(F17:Q17)</f>
        <v>106852.2</v>
      </c>
      <c r="S17" s="165">
        <f>(R17/$R$10)</f>
        <v>0.260959429276261</v>
      </c>
    </row>
    <row r="18" ht="14.75" customHeight="1">
      <c r="A18" t="s" s="160">
        <v>87</v>
      </c>
      <c r="B18" s="159">
        <f>'Assumptions'!B26</f>
        <v>35000</v>
      </c>
      <c r="C18" s="144"/>
      <c r="D18" s="164">
        <f>'Industry Averages (High Profit)'!C25</f>
        <v>0.07000000000000001</v>
      </c>
      <c r="E18" t="s" s="167">
        <v>167</v>
      </c>
      <c r="F18" s="161">
        <f>($B$18/12)</f>
        <v>2916.666666666670</v>
      </c>
      <c r="G18" s="161">
        <f>($B$18/12)</f>
        <v>2916.666666666670</v>
      </c>
      <c r="H18" s="161">
        <f>($B$18/12)</f>
        <v>2916.666666666670</v>
      </c>
      <c r="I18" s="161">
        <f>($B$18/12)</f>
        <v>2916.666666666670</v>
      </c>
      <c r="J18" s="161">
        <f>($B$18/12)</f>
        <v>2916.666666666670</v>
      </c>
      <c r="K18" s="161">
        <f>($B$18/12)</f>
        <v>2916.666666666670</v>
      </c>
      <c r="L18" s="161">
        <f>($B$18/12)</f>
        <v>2916.666666666670</v>
      </c>
      <c r="M18" s="161">
        <f>($B$18/12)</f>
        <v>2916.666666666670</v>
      </c>
      <c r="N18" s="161">
        <f>($B$18/12)</f>
        <v>2916.666666666670</v>
      </c>
      <c r="O18" s="161">
        <f>($B$18/12)</f>
        <v>2916.666666666670</v>
      </c>
      <c r="P18" s="161">
        <f>($B$18/12)</f>
        <v>2916.666666666670</v>
      </c>
      <c r="Q18" s="161">
        <f>($B$18/12)</f>
        <v>2916.666666666670</v>
      </c>
      <c r="R18" s="161">
        <f>SUM(F18:Q18)</f>
        <v>35000</v>
      </c>
      <c r="S18" s="165">
        <f>(R18/$R$10)</f>
        <v>0.0854786333334188</v>
      </c>
    </row>
    <row r="19" ht="14.75" customHeight="1">
      <c r="A19" t="s" s="160">
        <v>211</v>
      </c>
      <c r="B19" s="159">
        <f>($B$10*D19)</f>
        <v>7371</v>
      </c>
      <c r="C19" s="144"/>
      <c r="D19" s="164">
        <f>'Industry Averages (High Profit)'!C26+'Industry Averages (High Profit)'!C27+'Industry Averages (High Profit)'!C28</f>
        <v>0.018</v>
      </c>
      <c r="E19" s="144"/>
      <c r="F19" s="161">
        <f>($B$19/12)</f>
        <v>614.25</v>
      </c>
      <c r="G19" s="161">
        <f>($B$19/12)</f>
        <v>614.25</v>
      </c>
      <c r="H19" s="161">
        <f>($B$19/12)</f>
        <v>614.25</v>
      </c>
      <c r="I19" s="161">
        <f>($B$19/12)</f>
        <v>614.25</v>
      </c>
      <c r="J19" s="161">
        <f>($B$19/12)</f>
        <v>614.25</v>
      </c>
      <c r="K19" s="161">
        <f>($B$19/12)</f>
        <v>614.25</v>
      </c>
      <c r="L19" s="161">
        <f>($B$19/12)</f>
        <v>614.25</v>
      </c>
      <c r="M19" s="161">
        <f>($B$19/12)</f>
        <v>614.25</v>
      </c>
      <c r="N19" s="161">
        <f>($B$19/12)</f>
        <v>614.25</v>
      </c>
      <c r="O19" s="161">
        <f>($B$19/12)</f>
        <v>614.25</v>
      </c>
      <c r="P19" s="161">
        <f>($B$19/12)</f>
        <v>614.25</v>
      </c>
      <c r="Q19" s="161">
        <f>($B$19/12)</f>
        <v>614.25</v>
      </c>
      <c r="R19" s="161">
        <f>SUM(F19:Q19)</f>
        <v>7371</v>
      </c>
      <c r="S19" s="165">
        <f>(R19/$R$10)</f>
        <v>0.018001800180018</v>
      </c>
    </row>
    <row r="20" ht="14.75" customHeight="1">
      <c r="A20" t="s" s="160">
        <v>212</v>
      </c>
      <c r="B20" s="159">
        <f>($B$10*$D20)</f>
        <v>8190</v>
      </c>
      <c r="C20" s="144"/>
      <c r="D20" s="164">
        <f>'Assumptions'!C51</f>
        <v>0.02</v>
      </c>
      <c r="E20" t="s" s="167">
        <v>167</v>
      </c>
      <c r="F20" s="161">
        <f>(F10*$D$20)</f>
        <v>561.8339999999999</v>
      </c>
      <c r="G20" s="161">
        <f>(G10*$D$20)</f>
        <v>565.11</v>
      </c>
      <c r="H20" s="161">
        <f>(H10*$D$20)</f>
        <v>615.069</v>
      </c>
      <c r="I20" s="161">
        <f>(I10*$D$20)</f>
        <v>539.721</v>
      </c>
      <c r="J20" s="161">
        <f>(J10*$D$20)</f>
        <v>741.1950000000001</v>
      </c>
      <c r="K20" s="161">
        <f>(K10*$D$20)</f>
        <v>625.716</v>
      </c>
      <c r="L20" s="161">
        <f>(L10*$D$20)</f>
        <v>659.295</v>
      </c>
      <c r="M20" s="161">
        <f>(M10*$D$20)</f>
        <v>676.494</v>
      </c>
      <c r="N20" s="161">
        <f>(N10*$D$20)</f>
        <v>616.707</v>
      </c>
      <c r="O20" s="161">
        <f>(O10*$D$20)</f>
        <v>628.173</v>
      </c>
      <c r="P20" s="161">
        <f>(P10*$D$20)</f>
        <v>711.711</v>
      </c>
      <c r="Q20" s="161">
        <f>(Q10*$D$20)</f>
        <v>1248.156</v>
      </c>
      <c r="R20" s="161">
        <f>SUM(F20:Q20)</f>
        <v>8189.181</v>
      </c>
      <c r="S20" s="165">
        <f>(R20/$R$10)</f>
        <v>0.02</v>
      </c>
    </row>
    <row r="21" ht="14.75" customHeight="1">
      <c r="A21" t="s" s="160">
        <v>96</v>
      </c>
      <c r="B21" s="159">
        <f>($B$10*$D21)</f>
        <v>2457</v>
      </c>
      <c r="C21" s="144"/>
      <c r="D21" s="164">
        <f>'Industry Averages (High Profit)'!C33</f>
        <v>0.006</v>
      </c>
      <c r="E21" s="144"/>
      <c r="F21" s="161">
        <f>($B$21/12)</f>
        <v>204.75</v>
      </c>
      <c r="G21" s="161">
        <f>($B$21/12)</f>
        <v>204.75</v>
      </c>
      <c r="H21" s="161">
        <f>($B$21/12)</f>
        <v>204.75</v>
      </c>
      <c r="I21" s="161">
        <f>($B$21/12)</f>
        <v>204.75</v>
      </c>
      <c r="J21" s="161">
        <f>($B$21/12)</f>
        <v>204.75</v>
      </c>
      <c r="K21" s="161">
        <f>($B$21/12)</f>
        <v>204.75</v>
      </c>
      <c r="L21" s="161">
        <f>($B$21/12)</f>
        <v>204.75</v>
      </c>
      <c r="M21" s="161">
        <f>($B$21/12)</f>
        <v>204.75</v>
      </c>
      <c r="N21" s="161">
        <f>($B$21/12)</f>
        <v>204.75</v>
      </c>
      <c r="O21" s="161">
        <f>($B$21/12)</f>
        <v>204.75</v>
      </c>
      <c r="P21" s="161">
        <f>($B$21/12)</f>
        <v>204.75</v>
      </c>
      <c r="Q21" s="161">
        <f>($B$21/12)</f>
        <v>204.75</v>
      </c>
      <c r="R21" s="161">
        <f>SUM(F21:Q21)</f>
        <v>2457</v>
      </c>
      <c r="S21" s="165">
        <f>(R21/$R$10)</f>
        <v>0.006000600060006</v>
      </c>
    </row>
    <row r="22" ht="14.75" customHeight="1">
      <c r="A22" t="s" s="160">
        <v>164</v>
      </c>
      <c r="B22" s="159">
        <f>($B$10*$D22)</f>
        <v>3276</v>
      </c>
      <c r="C22" s="144"/>
      <c r="D22" s="164">
        <f>'Industry Averages (High Profit)'!C34</f>
        <v>0.008</v>
      </c>
      <c r="E22" s="144"/>
      <c r="F22" s="161">
        <f>($B$22/12)</f>
        <v>273</v>
      </c>
      <c r="G22" s="161">
        <f>($B$22/12)</f>
        <v>273</v>
      </c>
      <c r="H22" s="161">
        <f>($B$22/12)</f>
        <v>273</v>
      </c>
      <c r="I22" s="161">
        <f>($B$22/12)</f>
        <v>273</v>
      </c>
      <c r="J22" s="161">
        <f>($B$22/12)</f>
        <v>273</v>
      </c>
      <c r="K22" s="161">
        <f>($B$22/12)</f>
        <v>273</v>
      </c>
      <c r="L22" s="161">
        <f>($B$22/12)</f>
        <v>273</v>
      </c>
      <c r="M22" s="161">
        <f>($B$22/12)</f>
        <v>273</v>
      </c>
      <c r="N22" s="161">
        <f>($B$22/12)</f>
        <v>273</v>
      </c>
      <c r="O22" s="161">
        <f>($B$22/12)</f>
        <v>273</v>
      </c>
      <c r="P22" s="161">
        <f>($B$22/12)</f>
        <v>273</v>
      </c>
      <c r="Q22" s="161">
        <f>($B$22/12)</f>
        <v>273</v>
      </c>
      <c r="R22" s="161">
        <f>SUM(F22:Q22)</f>
        <v>3276</v>
      </c>
      <c r="S22" s="165">
        <f>(R22/$R$10)</f>
        <v>0.008000800080008001</v>
      </c>
    </row>
    <row r="23" ht="14.75" customHeight="1">
      <c r="A23" t="s" s="160">
        <v>213</v>
      </c>
      <c r="B23" s="159">
        <f>($B$10*$D23)</f>
        <v>5733</v>
      </c>
      <c r="C23" s="144"/>
      <c r="D23" s="164">
        <f>'Industry Averages (High Profit)'!C35</f>
        <v>0.014</v>
      </c>
      <c r="E23" s="144"/>
      <c r="F23" s="161">
        <f>($B$23/12)</f>
        <v>477.75</v>
      </c>
      <c r="G23" s="161">
        <f>($B$23/12)</f>
        <v>477.75</v>
      </c>
      <c r="H23" s="161">
        <f>($B$23/12)</f>
        <v>477.75</v>
      </c>
      <c r="I23" s="161">
        <f>($B$23/12)</f>
        <v>477.75</v>
      </c>
      <c r="J23" s="161">
        <f>($B$23/12)</f>
        <v>477.75</v>
      </c>
      <c r="K23" s="161">
        <f>($B$23/12)</f>
        <v>477.75</v>
      </c>
      <c r="L23" s="161">
        <f>($B$23/12)</f>
        <v>477.75</v>
      </c>
      <c r="M23" s="161">
        <f>($B$23/12)</f>
        <v>477.75</v>
      </c>
      <c r="N23" s="161">
        <f>($B$23/12)</f>
        <v>477.75</v>
      </c>
      <c r="O23" s="161">
        <f>($B$23/12)</f>
        <v>477.75</v>
      </c>
      <c r="P23" s="161">
        <f>($B$23/12)</f>
        <v>477.75</v>
      </c>
      <c r="Q23" s="161">
        <f>($B$23/12)</f>
        <v>477.75</v>
      </c>
      <c r="R23" s="161">
        <f>SUM(F23:Q23)</f>
        <v>5733</v>
      </c>
      <c r="S23" s="165">
        <f>(R23/$R$10)</f>
        <v>0.014001400140014</v>
      </c>
    </row>
    <row r="24" ht="14.75" customHeight="1">
      <c r="A24" t="s" s="160">
        <v>100</v>
      </c>
      <c r="B24" s="159">
        <f>($B$10*$D24)</f>
        <v>1638</v>
      </c>
      <c r="C24" s="144"/>
      <c r="D24" s="164">
        <f>'Industry Averages (High Profit)'!C36</f>
        <v>0.004</v>
      </c>
      <c r="E24" s="144"/>
      <c r="F24" s="145"/>
      <c r="G24" s="161"/>
      <c r="H24" s="145"/>
      <c r="I24" s="145"/>
      <c r="J24" s="145"/>
      <c r="K24" s="145"/>
      <c r="L24" s="145"/>
      <c r="M24" s="145"/>
      <c r="N24" s="145"/>
      <c r="O24" s="161"/>
      <c r="P24" s="145"/>
      <c r="Q24" s="161">
        <f>$B$24</f>
        <v>1638</v>
      </c>
      <c r="R24" s="161">
        <f>SUM(F24:Q24)</f>
        <v>1638</v>
      </c>
      <c r="S24" s="165">
        <f>(R24/$R$10)</f>
        <v>0.004000400040004</v>
      </c>
    </row>
    <row r="25" ht="14.75" customHeight="1">
      <c r="A25" t="s" s="160">
        <v>214</v>
      </c>
      <c r="B25" s="159">
        <f>($B$10*$D25)</f>
        <v>1638</v>
      </c>
      <c r="C25" s="144"/>
      <c r="D25" s="164">
        <f>'Industry Averages (High Profit)'!C37</f>
        <v>0.004</v>
      </c>
      <c r="E25" s="144"/>
      <c r="F25" t="s" s="146">
        <v>2</v>
      </c>
      <c r="G25" s="161">
        <f>($B$25/2)</f>
        <v>819</v>
      </c>
      <c r="H25" t="s" s="146">
        <v>2</v>
      </c>
      <c r="I25" t="s" s="146">
        <v>2</v>
      </c>
      <c r="J25" t="s" s="146">
        <v>2</v>
      </c>
      <c r="K25" t="s" s="146">
        <v>2</v>
      </c>
      <c r="L25" t="s" s="146">
        <v>2</v>
      </c>
      <c r="M25" t="s" s="146">
        <v>2</v>
      </c>
      <c r="N25" t="s" s="146">
        <v>2</v>
      </c>
      <c r="O25" s="161">
        <f>($B$25/2)</f>
        <v>819</v>
      </c>
      <c r="P25" t="s" s="146">
        <v>2</v>
      </c>
      <c r="Q25" t="s" s="146">
        <v>2</v>
      </c>
      <c r="R25" s="161">
        <f>SUM(F25:Q25)</f>
        <v>1638</v>
      </c>
      <c r="S25" s="165">
        <f>(R25/$R$10)</f>
        <v>0.004000400040004</v>
      </c>
    </row>
    <row r="26" ht="14.75" customHeight="1">
      <c r="A26" t="s" s="160">
        <v>215</v>
      </c>
      <c r="B26" s="159">
        <f>($B$10*$D26)</f>
        <v>1638</v>
      </c>
      <c r="C26" s="144"/>
      <c r="D26" s="164">
        <f>'Industry Averages (High Profit)'!C38</f>
        <v>0.004</v>
      </c>
      <c r="E26" s="144"/>
      <c r="F26" t="s" s="146">
        <v>2</v>
      </c>
      <c r="G26" t="s" s="146">
        <v>2</v>
      </c>
      <c r="H26" t="s" s="146">
        <v>2</v>
      </c>
      <c r="I26" t="s" s="146">
        <v>2</v>
      </c>
      <c r="J26" s="161">
        <f>B26</f>
        <v>1638</v>
      </c>
      <c r="K26" t="s" s="146">
        <v>2</v>
      </c>
      <c r="L26" t="s" s="146">
        <v>2</v>
      </c>
      <c r="M26" t="s" s="146">
        <v>2</v>
      </c>
      <c r="N26" t="s" s="146">
        <v>2</v>
      </c>
      <c r="O26" t="s" s="146">
        <v>2</v>
      </c>
      <c r="P26" t="s" s="146">
        <v>2</v>
      </c>
      <c r="Q26" t="s" s="146">
        <v>2</v>
      </c>
      <c r="R26" s="161">
        <f>SUM(F26:Q26)</f>
        <v>1638</v>
      </c>
      <c r="S26" s="165">
        <f>(R26/$R$10)</f>
        <v>0.004000400040004</v>
      </c>
    </row>
    <row r="27" ht="14.75" customHeight="1">
      <c r="A27" t="s" s="160">
        <v>216</v>
      </c>
      <c r="B27" s="159">
        <f>($B$10*$D27)</f>
        <v>9828</v>
      </c>
      <c r="C27" s="144"/>
      <c r="D27" s="164">
        <f>'Industry Averages (High Profit)'!C40</f>
        <v>0.024</v>
      </c>
      <c r="E27" s="144"/>
      <c r="F27" s="161">
        <f>(F10*$D$27)</f>
        <v>674.2008</v>
      </c>
      <c r="G27" s="161">
        <f>(G10*$D$27)</f>
        <v>678.1319999999999</v>
      </c>
      <c r="H27" s="161">
        <f>(H10*$D$27)</f>
        <v>738.0828</v>
      </c>
      <c r="I27" s="161">
        <f>(I10*$D$27)</f>
        <v>647.6652</v>
      </c>
      <c r="J27" s="161">
        <f>(J10*$D$27)</f>
        <v>889.434</v>
      </c>
      <c r="K27" s="161">
        <f>(K10*$D$27)</f>
        <v>750.8592</v>
      </c>
      <c r="L27" s="161">
        <f>(L10*$D$27)</f>
        <v>791.154</v>
      </c>
      <c r="M27" s="161">
        <f>(M10*$D$27)</f>
        <v>811.7928000000001</v>
      </c>
      <c r="N27" s="161">
        <f>(N10*$D$27)</f>
        <v>740.0484</v>
      </c>
      <c r="O27" s="161">
        <f>(O10*$D$27)</f>
        <v>753.8076</v>
      </c>
      <c r="P27" s="161">
        <f>(P10*$D$27)</f>
        <v>854.0531999999999</v>
      </c>
      <c r="Q27" s="161">
        <f>(Q10*$D$27)</f>
        <v>1497.7872</v>
      </c>
      <c r="R27" s="161">
        <f>SUM(F27:Q27)</f>
        <v>9827.0172</v>
      </c>
      <c r="S27" s="165">
        <f>(R27/$R$10)</f>
        <v>0.024</v>
      </c>
    </row>
    <row r="28" ht="14.75" customHeight="1">
      <c r="A28" t="s" s="160">
        <v>177</v>
      </c>
      <c r="B28" s="159">
        <f>($B$10*$D28)</f>
        <v>1638</v>
      </c>
      <c r="C28" s="144"/>
      <c r="D28" s="164">
        <f>'Industry Averages (High Profit)'!C41</f>
        <v>0.004</v>
      </c>
      <c r="E28" s="144"/>
      <c r="F28" s="161">
        <f>($B$28/2)</f>
        <v>819</v>
      </c>
      <c r="G28" t="s" s="146">
        <v>2</v>
      </c>
      <c r="H28" t="s" s="146">
        <v>2</v>
      </c>
      <c r="I28" t="s" s="146">
        <v>2</v>
      </c>
      <c r="J28" t="s" s="146">
        <v>2</v>
      </c>
      <c r="K28" t="s" s="146">
        <v>2</v>
      </c>
      <c r="L28" s="161">
        <f>($B$28/2)</f>
        <v>819</v>
      </c>
      <c r="M28" t="s" s="146">
        <v>2</v>
      </c>
      <c r="N28" t="s" s="146">
        <v>2</v>
      </c>
      <c r="O28" t="s" s="146">
        <v>2</v>
      </c>
      <c r="P28" t="s" s="146">
        <v>2</v>
      </c>
      <c r="Q28" t="s" s="146">
        <v>2</v>
      </c>
      <c r="R28" s="161">
        <f>SUM(F28:Q28)</f>
        <v>1638</v>
      </c>
      <c r="S28" s="165">
        <f>(R28/$R$10)</f>
        <v>0.004000400040004</v>
      </c>
    </row>
    <row r="29" ht="14.75" customHeight="1">
      <c r="A29" t="s" s="160">
        <v>111</v>
      </c>
      <c r="B29" s="159">
        <f>($B$10*$D29)</f>
        <v>1228.5</v>
      </c>
      <c r="C29" s="144"/>
      <c r="D29" s="164">
        <f>'Industry Averages (High Profit)'!C42</f>
        <v>0.003</v>
      </c>
      <c r="E29" s="144"/>
      <c r="F29" t="s" s="146">
        <v>2</v>
      </c>
      <c r="G29" t="s" s="146">
        <v>2</v>
      </c>
      <c r="H29" s="161">
        <f>($B$29/3)</f>
        <v>409.5</v>
      </c>
      <c r="I29" t="s" s="146">
        <v>2</v>
      </c>
      <c r="J29" t="s" s="146">
        <v>2</v>
      </c>
      <c r="K29" s="161">
        <f>($B$29/3)</f>
        <v>409.5</v>
      </c>
      <c r="L29" t="s" s="146">
        <v>2</v>
      </c>
      <c r="M29" t="s" s="146">
        <v>2</v>
      </c>
      <c r="N29" t="s" s="146">
        <v>2</v>
      </c>
      <c r="O29" t="s" s="146">
        <v>2</v>
      </c>
      <c r="P29" s="161">
        <f>($B$29/3)</f>
        <v>409.5</v>
      </c>
      <c r="Q29" t="s" s="146">
        <v>2</v>
      </c>
      <c r="R29" s="161">
        <f>SUM(F29:Q29)</f>
        <v>1228.5</v>
      </c>
      <c r="S29" s="165">
        <f>(R29/$R$10)</f>
        <v>0.003000300030003</v>
      </c>
    </row>
    <row r="30" ht="14.75" customHeight="1">
      <c r="A30" t="s" s="160">
        <v>217</v>
      </c>
      <c r="B30" s="159">
        <f>($B$10*$D30)</f>
        <v>1638</v>
      </c>
      <c r="C30" s="144"/>
      <c r="D30" s="164">
        <f>'Industry Averages (High Profit)'!C43</f>
        <v>0.004</v>
      </c>
      <c r="E30" s="144"/>
      <c r="F30" s="161"/>
      <c r="G30" s="161"/>
      <c r="H30" s="161"/>
      <c r="I30" s="161"/>
      <c r="J30" s="161"/>
      <c r="K30" s="161"/>
      <c r="L30" s="161"/>
      <c r="M30" s="161"/>
      <c r="N30" s="161"/>
      <c r="O30" s="161"/>
      <c r="P30" s="161"/>
      <c r="Q30" s="161">
        <f>B30</f>
        <v>1638</v>
      </c>
      <c r="R30" s="161">
        <f>SUM(F30:Q30)</f>
        <v>1638</v>
      </c>
      <c r="S30" s="165">
        <f>(R30/$R$10)</f>
        <v>0.004000400040004</v>
      </c>
    </row>
    <row r="31" ht="14.75" customHeight="1">
      <c r="A31" t="s" s="160">
        <v>218</v>
      </c>
      <c r="B31" s="159">
        <f>($B$10*$D31)</f>
        <v>1228.5</v>
      </c>
      <c r="C31" s="144"/>
      <c r="D31" s="164">
        <f>'Industry Averages (High Profit)'!C44</f>
        <v>0.003</v>
      </c>
      <c r="E31" s="144"/>
      <c r="F31" s="161">
        <f>($B$31/12)</f>
        <v>102.375</v>
      </c>
      <c r="G31" s="161">
        <f>($B$31/12)</f>
        <v>102.375</v>
      </c>
      <c r="H31" s="161">
        <f>($B$31/12)</f>
        <v>102.375</v>
      </c>
      <c r="I31" s="161">
        <f>($B$31/12)</f>
        <v>102.375</v>
      </c>
      <c r="J31" s="161">
        <f>($B$31/12)</f>
        <v>102.375</v>
      </c>
      <c r="K31" s="161">
        <f>($B$31/12)</f>
        <v>102.375</v>
      </c>
      <c r="L31" s="161">
        <f>($B$31/12)</f>
        <v>102.375</v>
      </c>
      <c r="M31" s="161">
        <f>($B$31/12)</f>
        <v>102.375</v>
      </c>
      <c r="N31" s="161">
        <f>($B$31/12)</f>
        <v>102.375</v>
      </c>
      <c r="O31" s="161">
        <f>($B$31/12)</f>
        <v>102.375</v>
      </c>
      <c r="P31" s="161">
        <f>($B$31/12)</f>
        <v>102.375</v>
      </c>
      <c r="Q31" s="161">
        <f>($B$31/12)</f>
        <v>102.375</v>
      </c>
      <c r="R31" s="161">
        <f>SUM(F31:Q31)</f>
        <v>1228.5</v>
      </c>
      <c r="S31" s="165">
        <f>(R31/$R$10)</f>
        <v>0.003000300030003</v>
      </c>
    </row>
    <row r="32" ht="14.75" customHeight="1">
      <c r="A32" t="s" s="160">
        <v>219</v>
      </c>
      <c r="B32" s="159">
        <f>($B$10*$D32)</f>
        <v>1638</v>
      </c>
      <c r="C32" s="144"/>
      <c r="D32" s="164">
        <f>'Industry Averages (High Profit)'!C45</f>
        <v>0.004</v>
      </c>
      <c r="E32" s="144"/>
      <c r="F32" s="161">
        <f>($B$32/12)</f>
        <v>136.5</v>
      </c>
      <c r="G32" s="161">
        <f>($B$32/12)</f>
        <v>136.5</v>
      </c>
      <c r="H32" s="161">
        <f>($B$32/12)</f>
        <v>136.5</v>
      </c>
      <c r="I32" s="161">
        <f>($B$32/12)</f>
        <v>136.5</v>
      </c>
      <c r="J32" s="161">
        <f>($B$32/12)</f>
        <v>136.5</v>
      </c>
      <c r="K32" s="161">
        <f>($B$32/12)</f>
        <v>136.5</v>
      </c>
      <c r="L32" s="161">
        <f>($B$32/12)</f>
        <v>136.5</v>
      </c>
      <c r="M32" s="161">
        <f>($B$32/12)</f>
        <v>136.5</v>
      </c>
      <c r="N32" s="161">
        <f>($B$32/12)</f>
        <v>136.5</v>
      </c>
      <c r="O32" s="161">
        <f>($B$32/12)</f>
        <v>136.5</v>
      </c>
      <c r="P32" s="161">
        <f>($B$32/12)</f>
        <v>136.5</v>
      </c>
      <c r="Q32" s="161">
        <f>($B$32/12)</f>
        <v>136.5</v>
      </c>
      <c r="R32" s="161">
        <f>SUM(F32:Q32)</f>
        <v>1638</v>
      </c>
      <c r="S32" s="165">
        <f>(R32/$R$10)</f>
        <v>0.004000400040004</v>
      </c>
    </row>
    <row r="33" ht="14.75" customHeight="1">
      <c r="A33" t="s" s="160">
        <v>220</v>
      </c>
      <c r="B33" s="159">
        <f>($B$10*$D33)</f>
        <v>4914</v>
      </c>
      <c r="C33" s="144"/>
      <c r="D33" s="164">
        <f>'Industry Averages (High Profit)'!C46</f>
        <v>0.012</v>
      </c>
      <c r="E33" s="144"/>
      <c r="F33" s="161">
        <f>($B$33/12)</f>
        <v>409.5</v>
      </c>
      <c r="G33" s="161">
        <f>($B$33/12)</f>
        <v>409.5</v>
      </c>
      <c r="H33" s="161">
        <f>($B$33/12)</f>
        <v>409.5</v>
      </c>
      <c r="I33" s="161">
        <f>($B$33/12)</f>
        <v>409.5</v>
      </c>
      <c r="J33" s="161">
        <f>($B$33/12)</f>
        <v>409.5</v>
      </c>
      <c r="K33" s="161">
        <f>($B$33/12)</f>
        <v>409.5</v>
      </c>
      <c r="L33" s="161">
        <f>($B$33/12)</f>
        <v>409.5</v>
      </c>
      <c r="M33" s="161">
        <f>($B$33/12)</f>
        <v>409.5</v>
      </c>
      <c r="N33" s="161">
        <f>($B$33/12)</f>
        <v>409.5</v>
      </c>
      <c r="O33" s="161">
        <f>($B$33/12)</f>
        <v>409.5</v>
      </c>
      <c r="P33" s="161">
        <f>($B$33/12)</f>
        <v>409.5</v>
      </c>
      <c r="Q33" s="161">
        <f>($B$33/12)</f>
        <v>409.5</v>
      </c>
      <c r="R33" s="161">
        <f>SUM(F33:Q33)</f>
        <v>4914</v>
      </c>
      <c r="S33" s="165">
        <f>(R33/$R$10)</f>
        <v>0.012001200120012</v>
      </c>
    </row>
    <row r="34" ht="9" customHeight="1">
      <c r="A34" t="s" s="169">
        <v>2</v>
      </c>
      <c r="B34" s="159"/>
      <c r="C34" s="144"/>
      <c r="D34" s="144"/>
      <c r="E34" s="144"/>
      <c r="F34" s="145"/>
      <c r="G34" s="145"/>
      <c r="H34" s="145"/>
      <c r="I34" s="145"/>
      <c r="J34" s="145"/>
      <c r="K34" s="145"/>
      <c r="L34" s="145"/>
      <c r="M34" s="145"/>
      <c r="N34" s="145"/>
      <c r="O34" s="145"/>
      <c r="P34" s="145"/>
      <c r="Q34" t="s" s="146">
        <v>2</v>
      </c>
      <c r="R34" s="161"/>
      <c r="S34" t="s" s="146">
        <v>2</v>
      </c>
    </row>
    <row r="35" ht="14.75" customHeight="1">
      <c r="A35" t="s" s="160">
        <v>221</v>
      </c>
      <c r="B35" s="159">
        <f>SUM(B14:B33)</f>
        <v>429321.2</v>
      </c>
      <c r="C35" s="144"/>
      <c r="D35" s="144"/>
      <c r="E35" s="144"/>
      <c r="F35" s="161">
        <f>SUM(F14:F34)</f>
        <v>32277.2138228311</v>
      </c>
      <c r="G35" s="161">
        <f>SUM(G14:G34)</f>
        <v>31499.5497625571</v>
      </c>
      <c r="H35" s="161">
        <f>SUM(H14:H34)</f>
        <v>33502.0283228311</v>
      </c>
      <c r="I35" s="161">
        <f>SUM(I14:I34)</f>
        <v>30486.5989694064</v>
      </c>
      <c r="J35" s="161">
        <f>SUM(J14:J34)</f>
        <v>38602.5965228311</v>
      </c>
      <c r="K35" s="161">
        <f>SUM(K14:K34)</f>
        <v>33536.1454694064</v>
      </c>
      <c r="L35" s="161">
        <f>SUM(L14:L34)</f>
        <v>35269.2665228311</v>
      </c>
      <c r="M35" s="161">
        <f>SUM(M14:M34)</f>
        <v>34978.2758228311</v>
      </c>
      <c r="N35" s="161">
        <f>SUM(N14:N34)</f>
        <v>32850.0691694064</v>
      </c>
      <c r="O35" s="161">
        <f>SUM(O14:O34)</f>
        <v>34313.8211228311</v>
      </c>
      <c r="P35" s="161">
        <f>SUM(P14:P34)</f>
        <v>36176.1919694064</v>
      </c>
      <c r="Q35" s="161">
        <f>SUM(Q14:Q34)</f>
        <v>55804.2992228311</v>
      </c>
      <c r="R35" s="161">
        <f>SUM(R14:R34)</f>
        <v>429296.0567</v>
      </c>
      <c r="S35" s="165">
        <f>(R35/$R$10)</f>
        <v>1.04844686348977</v>
      </c>
    </row>
    <row r="36" ht="14.75" customHeight="1">
      <c r="A36" s="153"/>
      <c r="B36" s="159"/>
      <c r="C36" s="144"/>
      <c r="D36" s="144"/>
      <c r="E36" s="144"/>
      <c r="F36" s="145"/>
      <c r="G36" s="145"/>
      <c r="H36" s="145"/>
      <c r="I36" s="145"/>
      <c r="J36" s="145"/>
      <c r="K36" s="145"/>
      <c r="L36" s="145"/>
      <c r="M36" s="145"/>
      <c r="N36" s="145"/>
      <c r="O36" s="145"/>
      <c r="P36" s="145"/>
      <c r="Q36" s="145"/>
      <c r="R36" s="145"/>
      <c r="S36" s="145"/>
    </row>
    <row r="37" ht="14.75" customHeight="1">
      <c r="A37" t="s" s="170">
        <v>119</v>
      </c>
      <c r="B37" s="162">
        <f>(B10-B35)</f>
        <v>-19821.2</v>
      </c>
      <c r="C37" s="171"/>
      <c r="D37" s="171"/>
      <c r="E37" s="171"/>
      <c r="F37" s="173">
        <f>(F10-F35)</f>
        <v>-4185.5138228311</v>
      </c>
      <c r="G37" s="173">
        <f>(G10-G35)</f>
        <v>-3244.0497625571</v>
      </c>
      <c r="H37" s="173">
        <f>(H10-H35)</f>
        <v>-2748.5783228311</v>
      </c>
      <c r="I37" s="173">
        <f>(I10-I35)</f>
        <v>-3500.5489694064</v>
      </c>
      <c r="J37" s="173">
        <f>(J10-J35)</f>
        <v>-1542.8465228311</v>
      </c>
      <c r="K37" s="173">
        <f>(K10-K35)</f>
        <v>-2250.3454694064</v>
      </c>
      <c r="L37" s="173">
        <f>(L10-L35)</f>
        <v>-2304.5165228311</v>
      </c>
      <c r="M37" s="173">
        <f>(M10-M35)</f>
        <v>-1153.5758228311</v>
      </c>
      <c r="N37" s="173">
        <f>(N10-N35)</f>
        <v>-2014.7191694064</v>
      </c>
      <c r="O37" s="173">
        <f>(O10-O35)</f>
        <v>-2905.1711228311</v>
      </c>
      <c r="P37" s="173">
        <f>(P10-P35)</f>
        <v>-590.6419694064</v>
      </c>
      <c r="Q37" s="173">
        <f>(Q10-Q35)</f>
        <v>6603.5007771689</v>
      </c>
      <c r="R37" s="173">
        <f>SUM(F37:Q37)</f>
        <v>-19837.0067000004</v>
      </c>
      <c r="S37" s="174">
        <f>R37/R10</f>
        <v>-0.0484468634897688</v>
      </c>
    </row>
    <row r="38" ht="14.75" customHeight="1">
      <c r="A38" t="s" s="160">
        <v>222</v>
      </c>
      <c r="B38" s="159"/>
      <c r="C38" s="144"/>
      <c r="D38" s="144"/>
      <c r="E38" s="144"/>
      <c r="F38" s="161">
        <f>'Funding'!B15</f>
        <v>0</v>
      </c>
      <c r="G38" s="161">
        <f>$F$38</f>
        <v>0</v>
      </c>
      <c r="H38" s="161">
        <f>$F$38</f>
        <v>0</v>
      </c>
      <c r="I38" s="161">
        <f>$F$38</f>
        <v>0</v>
      </c>
      <c r="J38" s="161">
        <f>$F$38</f>
        <v>0</v>
      </c>
      <c r="K38" s="161">
        <f>$F$38</f>
        <v>0</v>
      </c>
      <c r="L38" s="161">
        <f>$F$38</f>
        <v>0</v>
      </c>
      <c r="M38" s="161">
        <f>$F$38</f>
        <v>0</v>
      </c>
      <c r="N38" s="161">
        <f>$F$38</f>
        <v>0</v>
      </c>
      <c r="O38" s="161">
        <f>$F$38</f>
        <v>0</v>
      </c>
      <c r="P38" s="161">
        <f>$F$38</f>
        <v>0</v>
      </c>
      <c r="Q38" s="161">
        <f>$F$38</f>
        <v>0</v>
      </c>
      <c r="R38" s="173">
        <f>SUM(F38:Q38)</f>
        <v>0</v>
      </c>
      <c r="S38" s="145"/>
    </row>
    <row r="39" ht="14.75" customHeight="1">
      <c r="A39" t="s" s="148">
        <v>223</v>
      </c>
      <c r="B39" s="159"/>
      <c r="C39" s="144"/>
      <c r="D39" s="144"/>
      <c r="E39" s="144"/>
      <c r="F39" s="161">
        <f>(F37-F38)</f>
        <v>-4185.5138228311</v>
      </c>
      <c r="G39" s="161">
        <f>(G37-G38)</f>
        <v>-3244.0497625571</v>
      </c>
      <c r="H39" s="161">
        <f>(H37-H38)</f>
        <v>-2748.5783228311</v>
      </c>
      <c r="I39" s="161">
        <f>(I37-I38)</f>
        <v>-3500.5489694064</v>
      </c>
      <c r="J39" s="161">
        <f>(J37-J38)</f>
        <v>-1542.8465228311</v>
      </c>
      <c r="K39" s="161">
        <f>(K37-K38)</f>
        <v>-2250.3454694064</v>
      </c>
      <c r="L39" s="161">
        <f>(L37-L38)</f>
        <v>-2304.5165228311</v>
      </c>
      <c r="M39" s="161">
        <f>(M37-M38)</f>
        <v>-1153.5758228311</v>
      </c>
      <c r="N39" s="161">
        <f>(N37-N38)</f>
        <v>-2014.7191694064</v>
      </c>
      <c r="O39" s="161">
        <f>(O37-O38)</f>
        <v>-2905.1711228311</v>
      </c>
      <c r="P39" s="161">
        <f>(P37-P38)</f>
        <v>-590.6419694064</v>
      </c>
      <c r="Q39" s="161">
        <f>(Q37-Q38)</f>
        <v>6603.5007771689</v>
      </c>
      <c r="R39" s="173">
        <f>SUM(F39:Q39)</f>
        <v>-19837.0067000004</v>
      </c>
      <c r="S39" s="175">
        <f>(R39/R10)</f>
        <v>-0.0484468634897688</v>
      </c>
    </row>
    <row r="40" ht="14.75" customHeight="1">
      <c r="A40" s="153"/>
      <c r="B40" s="159"/>
      <c r="C40" s="144"/>
      <c r="D40" s="144"/>
      <c r="E40" s="144"/>
      <c r="F40" s="145"/>
      <c r="G40" s="145"/>
      <c r="H40" s="145"/>
      <c r="I40" s="145"/>
      <c r="J40" s="145"/>
      <c r="K40" s="145"/>
      <c r="L40" s="145"/>
      <c r="M40" s="145"/>
      <c r="N40" s="145"/>
      <c r="O40" s="145"/>
      <c r="P40" s="145"/>
      <c r="Q40" s="145"/>
      <c r="R40" s="145"/>
      <c r="S40" s="145"/>
    </row>
    <row r="41" ht="14.75" customHeight="1">
      <c r="A41" t="s" s="160">
        <v>224</v>
      </c>
      <c r="B41" s="159"/>
      <c r="C41" s="144"/>
      <c r="D41" t="s" s="167">
        <v>2</v>
      </c>
      <c r="E41" s="144"/>
      <c r="F41" s="145"/>
      <c r="G41" s="145"/>
      <c r="H41" s="145"/>
      <c r="I41" s="145"/>
      <c r="J41" s="145"/>
      <c r="K41" s="145"/>
      <c r="L41" s="145"/>
      <c r="M41" s="145"/>
      <c r="N41" s="145"/>
      <c r="O41" s="145"/>
      <c r="P41" s="145"/>
      <c r="Q41" s="145"/>
      <c r="R41" s="145"/>
      <c r="S41" s="145"/>
    </row>
    <row r="42" ht="14.75" customHeight="1">
      <c r="A42" s="160"/>
      <c r="B42" s="159"/>
      <c r="C42" s="144"/>
      <c r="D42" s="167"/>
      <c r="E42" s="144"/>
      <c r="F42" s="145"/>
      <c r="G42" s="145"/>
      <c r="H42" s="145"/>
      <c r="I42" s="145"/>
      <c r="J42" s="145"/>
      <c r="K42" s="145"/>
      <c r="L42" s="145"/>
      <c r="M42" s="145"/>
      <c r="N42" s="145"/>
      <c r="O42" s="145"/>
      <c r="P42" s="145"/>
      <c r="Q42" s="145"/>
      <c r="R42" s="145"/>
      <c r="S42" s="145"/>
    </row>
    <row r="43" ht="14.75" customHeight="1">
      <c r="A43" t="s" s="148">
        <v>225</v>
      </c>
      <c r="B43" s="159"/>
      <c r="C43" s="144"/>
      <c r="D43" s="167"/>
      <c r="E43" s="144"/>
      <c r="F43" s="176">
        <v>31</v>
      </c>
      <c r="G43" s="176">
        <v>28</v>
      </c>
      <c r="H43" s="176">
        <v>31</v>
      </c>
      <c r="I43" s="176">
        <v>30</v>
      </c>
      <c r="J43" s="176">
        <v>31</v>
      </c>
      <c r="K43" s="176">
        <v>30</v>
      </c>
      <c r="L43" s="176">
        <v>31</v>
      </c>
      <c r="M43" s="176">
        <v>31</v>
      </c>
      <c r="N43" s="176">
        <v>30</v>
      </c>
      <c r="O43" s="176">
        <v>31</v>
      </c>
      <c r="P43" s="176">
        <v>30</v>
      </c>
      <c r="Q43" s="176">
        <v>31</v>
      </c>
      <c r="R43" s="176">
        <f>SUM(A43:Q43)</f>
        <v>365</v>
      </c>
      <c r="S43" s="145"/>
    </row>
    <row r="44" ht="14.75" customHeight="1">
      <c r="A44" t="s" s="148">
        <v>226</v>
      </c>
      <c r="B44" s="159"/>
      <c r="C44" s="144"/>
      <c r="D44" s="167"/>
      <c r="E44" s="144"/>
      <c r="F44" s="177">
        <f>(F43/$R$43)</f>
        <v>0.08493150684931509</v>
      </c>
      <c r="G44" s="177">
        <f>(G43/$R$43)</f>
        <v>0.07671232876712331</v>
      </c>
      <c r="H44" s="177">
        <f>(H43/$R$43)</f>
        <v>0.08493150684931509</v>
      </c>
      <c r="I44" s="177">
        <f>(I43/$R$43)</f>
        <v>0.0821917808219178</v>
      </c>
      <c r="J44" s="177">
        <f>(J43/$R$43)</f>
        <v>0.08493150684931509</v>
      </c>
      <c r="K44" s="177">
        <f>(K43/$R$43)</f>
        <v>0.0821917808219178</v>
      </c>
      <c r="L44" s="177">
        <f>(L43/$R$43)</f>
        <v>0.08493150684931509</v>
      </c>
      <c r="M44" s="177">
        <f>(M43/$R$43)</f>
        <v>0.08493150684931509</v>
      </c>
      <c r="N44" s="177">
        <f>(N43/$R$43)</f>
        <v>0.0821917808219178</v>
      </c>
      <c r="O44" s="177">
        <f>(O43/$R$43)</f>
        <v>0.08493150684931509</v>
      </c>
      <c r="P44" s="177">
        <f>(P43/$R$43)</f>
        <v>0.0821917808219178</v>
      </c>
      <c r="Q44" s="177">
        <f>(Q43/$R$43)</f>
        <v>0.08493150684931509</v>
      </c>
      <c r="R44" s="178">
        <f>(R43/$R$43)</f>
        <v>1</v>
      </c>
      <c r="S44" s="145"/>
    </row>
  </sheetData>
  <pageMargins left="0.5" right="0.5" top="0.5" bottom="0.5" header="0.25" footer="0.25"/>
  <pageSetup firstPageNumber="1" fitToHeight="1" fitToWidth="1" scale="100" useFirstPageNumber="0" orientation="landscape" pageOrder="downThenOver"/>
  <headerFooter>
    <oddFooter>&amp;C&amp;"Helvetica Neue,Regular"&amp;12&amp;K000000&amp;P</oddFooter>
  </headerFooter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dimension ref="A1:S42"/>
  <sheetViews>
    <sheetView workbookViewId="0" showGridLines="0" defaultGridColor="1"/>
  </sheetViews>
  <sheetFormatPr defaultColWidth="8.83333" defaultRowHeight="14" customHeight="1" outlineLevelRow="0" outlineLevelCol="0"/>
  <cols>
    <col min="1" max="1" width="23" style="180" customWidth="1"/>
    <col min="2" max="2" width="10.5" style="180" customWidth="1"/>
    <col min="3" max="3" width="3.67188" style="180" customWidth="1"/>
    <col min="4" max="4" width="7.85156" style="180" customWidth="1"/>
    <col min="5" max="5" width="3" style="180" customWidth="1"/>
    <col min="6" max="7" width="9.67188" style="180" customWidth="1"/>
    <col min="8" max="8" width="8.85156" style="180" customWidth="1"/>
    <col min="9" max="9" width="9.35156" style="180" customWidth="1"/>
    <col min="10" max="10" width="9.17188" style="180" customWidth="1"/>
    <col min="11" max="11" width="9" style="180" customWidth="1"/>
    <col min="12" max="18" width="8.85156" style="180" customWidth="1"/>
    <col min="19" max="19" width="7.85156" style="180" customWidth="1"/>
    <col min="20" max="16384" width="8.85156" style="180" customWidth="1"/>
  </cols>
  <sheetData>
    <row r="1" ht="32.75" customHeight="1">
      <c r="A1" t="s" s="139">
        <v>185</v>
      </c>
      <c r="B1" s="140"/>
      <c r="C1" s="140"/>
      <c r="D1" s="140"/>
      <c r="E1" s="140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  <c r="Q1" s="141"/>
      <c r="R1" s="141"/>
      <c r="S1" s="141"/>
    </row>
    <row r="2" ht="17.75" customHeight="1">
      <c r="A2" t="s" s="142">
        <v>229</v>
      </c>
      <c r="B2" t="s" s="143">
        <v>2</v>
      </c>
      <c r="C2" s="144"/>
      <c r="D2" s="144"/>
      <c r="E2" s="144"/>
      <c r="F2" s="145"/>
      <c r="G2" s="145"/>
      <c r="H2" t="s" s="146">
        <v>2</v>
      </c>
      <c r="I2" t="s" s="147">
        <v>2</v>
      </c>
      <c r="J2" s="145"/>
      <c r="K2" s="145"/>
      <c r="L2" s="145"/>
      <c r="M2" s="145"/>
      <c r="N2" s="145"/>
      <c r="O2" s="145"/>
      <c r="P2" s="145"/>
      <c r="Q2" s="145"/>
      <c r="R2" s="145"/>
      <c r="S2" s="145"/>
    </row>
    <row r="3" ht="14.75" customHeight="1">
      <c r="A3" t="s" s="148">
        <v>2</v>
      </c>
      <c r="B3" s="144"/>
      <c r="C3" s="144"/>
      <c r="D3" s="144"/>
      <c r="E3" s="144"/>
      <c r="F3" s="145"/>
      <c r="G3" s="145"/>
      <c r="H3" s="145"/>
      <c r="I3" t="s" s="147">
        <v>2</v>
      </c>
      <c r="J3" s="145"/>
      <c r="K3" s="145"/>
      <c r="L3" s="145"/>
      <c r="M3" s="145"/>
      <c r="N3" s="145"/>
      <c r="O3" s="145"/>
      <c r="P3" s="145"/>
      <c r="Q3" s="145"/>
      <c r="R3" s="145"/>
      <c r="S3" s="145"/>
    </row>
    <row r="4" ht="14.75" customHeight="1">
      <c r="A4" t="s" s="149">
        <v>187</v>
      </c>
      <c r="B4" s="150">
        <f>'Assumptions'!B17</f>
        <v>1400</v>
      </c>
      <c r="C4" s="144"/>
      <c r="D4" s="144"/>
      <c r="E4" s="144"/>
      <c r="F4" s="145"/>
      <c r="G4" s="145"/>
      <c r="H4" s="144"/>
      <c r="I4" s="144"/>
      <c r="J4" s="145"/>
      <c r="K4" s="145"/>
      <c r="L4" s="145"/>
      <c r="M4" s="145"/>
      <c r="N4" s="145"/>
      <c r="O4" s="145"/>
      <c r="P4" s="145"/>
      <c r="Q4" s="145"/>
      <c r="R4" s="145"/>
      <c r="S4" s="145"/>
    </row>
    <row r="5" ht="14.75" customHeight="1">
      <c r="A5" t="s" s="149">
        <v>188</v>
      </c>
      <c r="B5" s="151">
        <f>'Assumptions'!B20</f>
        <v>1260</v>
      </c>
      <c r="C5" s="144"/>
      <c r="D5" s="152">
        <v>1</v>
      </c>
      <c r="E5" s="144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</row>
    <row r="6" ht="14.75" customHeight="1">
      <c r="A6" s="153"/>
      <c r="B6" s="144"/>
      <c r="C6" s="144"/>
      <c r="D6" s="144"/>
      <c r="E6" s="144"/>
      <c r="F6" s="145"/>
      <c r="G6" s="145"/>
      <c r="H6" s="145"/>
      <c r="I6" s="145"/>
      <c r="J6" s="145"/>
      <c r="K6" s="145"/>
      <c r="L6" s="145"/>
      <c r="M6" s="145"/>
      <c r="N6" s="145"/>
      <c r="O6" s="145"/>
      <c r="P6" s="145"/>
      <c r="Q6" s="145"/>
      <c r="R6" s="145"/>
      <c r="S6" s="144"/>
    </row>
    <row r="7" ht="14.75" customHeight="1">
      <c r="A7" t="s" s="154">
        <v>2</v>
      </c>
      <c r="B7" t="s" s="155">
        <v>2</v>
      </c>
      <c r="C7" s="144"/>
      <c r="D7" t="s" s="143">
        <v>189</v>
      </c>
      <c r="E7" s="144"/>
      <c r="F7" t="s" s="155">
        <v>190</v>
      </c>
      <c r="G7" t="s" s="155">
        <v>191</v>
      </c>
      <c r="H7" t="s" s="155">
        <v>192</v>
      </c>
      <c r="I7" t="s" s="155">
        <v>193</v>
      </c>
      <c r="J7" t="s" s="155">
        <v>194</v>
      </c>
      <c r="K7" t="s" s="155">
        <v>195</v>
      </c>
      <c r="L7" t="s" s="155">
        <v>196</v>
      </c>
      <c r="M7" t="s" s="155">
        <v>197</v>
      </c>
      <c r="N7" t="s" s="155">
        <v>198</v>
      </c>
      <c r="O7" t="s" s="155">
        <v>199</v>
      </c>
      <c r="P7" t="s" s="155">
        <v>200</v>
      </c>
      <c r="Q7" t="s" s="155">
        <v>201</v>
      </c>
      <c r="R7" t="s" s="155">
        <v>182</v>
      </c>
      <c r="S7" t="s" s="155">
        <v>202</v>
      </c>
    </row>
    <row r="8" ht="14.75" customHeight="1">
      <c r="A8" s="153"/>
      <c r="B8" s="156"/>
      <c r="C8" s="144"/>
      <c r="D8" t="s" s="157">
        <v>203</v>
      </c>
      <c r="E8" s="158"/>
      <c r="F8" t="s" s="155">
        <v>2</v>
      </c>
      <c r="G8" s="144"/>
      <c r="H8" s="144"/>
      <c r="I8" s="144"/>
      <c r="J8" s="144"/>
      <c r="K8" s="144"/>
      <c r="L8" s="144"/>
      <c r="M8" s="144"/>
      <c r="N8" s="144"/>
      <c r="O8" s="144"/>
      <c r="P8" s="144"/>
      <c r="Q8" s="144"/>
      <c r="R8" t="s" s="155">
        <v>2</v>
      </c>
      <c r="S8" t="s" s="157">
        <v>204</v>
      </c>
    </row>
    <row r="9" ht="14.75" customHeight="1">
      <c r="A9" s="153"/>
      <c r="B9" s="159"/>
      <c r="C9" s="144"/>
      <c r="D9" s="144"/>
      <c r="E9" s="144"/>
      <c r="F9" s="145"/>
      <c r="G9" s="145"/>
      <c r="H9" s="145"/>
      <c r="I9" s="145"/>
      <c r="J9" s="145"/>
      <c r="K9" s="145"/>
      <c r="L9" s="145"/>
      <c r="M9" s="145"/>
      <c r="N9" s="145"/>
      <c r="O9" s="145"/>
      <c r="P9" s="145"/>
      <c r="Q9" s="145"/>
      <c r="R9" s="145"/>
      <c r="S9" s="145"/>
    </row>
    <row r="10" ht="14.75" customHeight="1">
      <c r="A10" t="s" s="160">
        <v>205</v>
      </c>
      <c r="B10" s="159">
        <f>(B5*B11)</f>
        <v>535500</v>
      </c>
      <c r="C10" s="144"/>
      <c r="D10" s="144"/>
      <c r="E10" s="144"/>
      <c r="F10" s="161">
        <f>($B$10*F12)</f>
        <v>36735.3</v>
      </c>
      <c r="G10" s="161">
        <f>($B$10*G12)</f>
        <v>36949.5</v>
      </c>
      <c r="H10" s="161">
        <f>($B$10*H12)</f>
        <v>40216.05</v>
      </c>
      <c r="I10" s="161">
        <f>($B$10*I12)</f>
        <v>35289.45</v>
      </c>
      <c r="J10" s="161">
        <f>($B$10*J12)</f>
        <v>48462.75</v>
      </c>
      <c r="K10" s="161">
        <f>($B$10*K12)</f>
        <v>40912.2</v>
      </c>
      <c r="L10" s="161">
        <f>($B$10*L12)</f>
        <v>43107.75</v>
      </c>
      <c r="M10" s="161">
        <f>($B$10*M12)</f>
        <v>44232.3</v>
      </c>
      <c r="N10" s="161">
        <f>($B$10*N12)</f>
        <v>40323.15</v>
      </c>
      <c r="O10" s="161">
        <f>($B$10*O12)</f>
        <v>41072.85</v>
      </c>
      <c r="P10" s="161">
        <f>($B$10*P12)</f>
        <v>46534.95</v>
      </c>
      <c r="Q10" s="161">
        <f>($B$10*Q12)</f>
        <v>81610.2</v>
      </c>
      <c r="R10" s="161">
        <f>SUM(F10:Q10)</f>
        <v>535446.45</v>
      </c>
      <c r="S10" s="161"/>
    </row>
    <row r="11" ht="14.75" customHeight="1">
      <c r="A11" t="s" s="149">
        <v>230</v>
      </c>
      <c r="B11" s="162">
        <f>'Assumptions'!C42</f>
        <v>425</v>
      </c>
      <c r="C11" s="144"/>
      <c r="D11" s="144"/>
      <c r="E11" s="144"/>
      <c r="F11" s="145"/>
      <c r="G11" s="145"/>
      <c r="H11" s="145"/>
      <c r="I11" s="145"/>
      <c r="J11" s="145"/>
      <c r="K11" s="145"/>
      <c r="L11" s="145"/>
      <c r="M11" s="145"/>
      <c r="N11" s="145"/>
      <c r="O11" s="145"/>
      <c r="P11" s="145"/>
      <c r="Q11" s="145"/>
      <c r="R11" t="s" s="146">
        <v>2</v>
      </c>
      <c r="S11" s="145"/>
    </row>
    <row r="12" ht="14.75" customHeight="1">
      <c r="A12" t="s" s="148">
        <v>207</v>
      </c>
      <c r="B12" s="159"/>
      <c r="C12" s="144"/>
      <c r="D12" s="163">
        <f>SUM(E12:Q12)</f>
        <v>0.9999</v>
      </c>
      <c r="E12" s="164"/>
      <c r="F12" s="165">
        <v>0.06859999999999999</v>
      </c>
      <c r="G12" s="165">
        <v>0.06900000000000001</v>
      </c>
      <c r="H12" s="165">
        <v>0.0751</v>
      </c>
      <c r="I12" s="165">
        <v>0.0659</v>
      </c>
      <c r="J12" s="165">
        <v>0.0905</v>
      </c>
      <c r="K12" s="165">
        <v>0.0764</v>
      </c>
      <c r="L12" s="165">
        <v>0.0805</v>
      </c>
      <c r="M12" s="165">
        <v>0.08260000000000001</v>
      </c>
      <c r="N12" s="165">
        <v>0.07530000000000001</v>
      </c>
      <c r="O12" s="165">
        <v>0.0767</v>
      </c>
      <c r="P12" s="165">
        <v>0.08690000000000001</v>
      </c>
      <c r="Q12" s="165">
        <v>0.1524</v>
      </c>
      <c r="R12" s="166">
        <f>SUM(F12:Q12)</f>
        <v>0.9999</v>
      </c>
      <c r="S12" s="166"/>
    </row>
    <row r="13" ht="14.75" customHeight="1">
      <c r="A13" s="153"/>
      <c r="B13" s="159"/>
      <c r="C13" s="144"/>
      <c r="D13" s="144"/>
      <c r="E13" s="144"/>
      <c r="F13" s="145"/>
      <c r="G13" s="145"/>
      <c r="H13" s="145"/>
      <c r="I13" s="145"/>
      <c r="J13" s="145"/>
      <c r="K13" s="145"/>
      <c r="L13" s="145"/>
      <c r="M13" s="145"/>
      <c r="N13" s="145"/>
      <c r="O13" s="145"/>
      <c r="P13" s="145"/>
      <c r="Q13" s="145"/>
      <c r="R13" t="s" s="146">
        <v>2</v>
      </c>
      <c r="S13" s="145"/>
    </row>
    <row r="14" ht="14.75" customHeight="1">
      <c r="A14" t="s" s="160">
        <v>208</v>
      </c>
      <c r="B14" s="159">
        <f>($D$14*B10)</f>
        <v>285421.5</v>
      </c>
      <c r="C14" s="144"/>
      <c r="D14" s="164">
        <f>'Assumptions'!C45</f>
        <v>0.533</v>
      </c>
      <c r="E14" t="s" s="167">
        <v>2</v>
      </c>
      <c r="F14" s="161">
        <f>(F10*$D$14)</f>
        <v>19579.9149</v>
      </c>
      <c r="G14" s="161">
        <f>(G10*$D$14)</f>
        <v>19694.0835</v>
      </c>
      <c r="H14" s="161">
        <f>(H10*$D$14)</f>
        <v>21435.15465</v>
      </c>
      <c r="I14" s="161">
        <f>(I10*$D$14)</f>
        <v>18809.27685</v>
      </c>
      <c r="J14" s="161">
        <f>(J10*$D$14)</f>
        <v>25830.64575</v>
      </c>
      <c r="K14" s="161">
        <f>(K10*$D$14)</f>
        <v>21806.2026</v>
      </c>
      <c r="L14" s="161">
        <f>(L10*$D$14)</f>
        <v>22976.43075</v>
      </c>
      <c r="M14" s="161">
        <f>(M10*$D$14)</f>
        <v>23575.8159</v>
      </c>
      <c r="N14" s="161">
        <f>(N10*$D$14)</f>
        <v>21492.23895</v>
      </c>
      <c r="O14" s="161">
        <f>(O10*$D$14)</f>
        <v>21891.82905</v>
      </c>
      <c r="P14" s="161">
        <f>(P10*$D$14)</f>
        <v>24803.12835</v>
      </c>
      <c r="Q14" s="161">
        <f>(Q10*$D$14)</f>
        <v>43498.2366</v>
      </c>
      <c r="R14" s="161">
        <f>SUM(F14:Q14)</f>
        <v>285392.95785</v>
      </c>
      <c r="S14" s="165">
        <f>(R14/$R$10)</f>
        <v>0.533</v>
      </c>
    </row>
    <row r="15" ht="14.75" customHeight="1">
      <c r="A15" s="153"/>
      <c r="B15" s="159"/>
      <c r="C15" s="144"/>
      <c r="D15" t="s" s="168">
        <v>2</v>
      </c>
      <c r="E15" s="144"/>
      <c r="F15" s="145"/>
      <c r="G15" s="145"/>
      <c r="H15" s="145"/>
      <c r="I15" s="145"/>
      <c r="J15" s="145"/>
      <c r="K15" s="145"/>
      <c r="L15" s="145"/>
      <c r="M15" s="145"/>
      <c r="N15" s="145"/>
      <c r="O15" s="145"/>
      <c r="P15" s="145"/>
      <c r="Q15" s="145"/>
      <c r="R15" t="s" s="146">
        <v>2</v>
      </c>
      <c r="S15" t="s" s="146">
        <v>2</v>
      </c>
    </row>
    <row r="16" ht="14.75" customHeight="1">
      <c r="A16" t="s" s="160">
        <v>209</v>
      </c>
      <c r="B16" s="159"/>
      <c r="C16" s="144"/>
      <c r="D16" s="144"/>
      <c r="E16" s="144"/>
      <c r="F16" t="s" s="146">
        <v>2</v>
      </c>
      <c r="G16" t="s" s="146">
        <v>2</v>
      </c>
      <c r="H16" t="s" s="146">
        <v>2</v>
      </c>
      <c r="I16" t="s" s="146">
        <v>2</v>
      </c>
      <c r="J16" t="s" s="146">
        <v>2</v>
      </c>
      <c r="K16" t="s" s="146">
        <v>2</v>
      </c>
      <c r="L16" t="s" s="146">
        <v>2</v>
      </c>
      <c r="M16" t="s" s="146">
        <v>2</v>
      </c>
      <c r="N16" t="s" s="146">
        <v>2</v>
      </c>
      <c r="O16" t="s" s="146">
        <v>2</v>
      </c>
      <c r="P16" t="s" s="146">
        <v>2</v>
      </c>
      <c r="Q16" t="s" s="146">
        <v>2</v>
      </c>
      <c r="R16" t="s" s="146">
        <v>2</v>
      </c>
      <c r="S16" t="s" s="146">
        <v>2</v>
      </c>
    </row>
    <row r="17" ht="14.75" customHeight="1">
      <c r="A17" t="s" s="160">
        <v>210</v>
      </c>
      <c r="B17" s="159">
        <f>('Proforma P&amp;L Year 2'!B17*1.03)</f>
        <v>110057.766</v>
      </c>
      <c r="C17" s="144"/>
      <c r="D17" s="164">
        <f>'Industry Averages (High Profit)'!C23</f>
        <v>0.186</v>
      </c>
      <c r="E17" s="144"/>
      <c r="F17" s="161">
        <f>($B$17*F42)</f>
        <v>9347.371906849319</v>
      </c>
      <c r="G17" s="161">
        <f>($B$17*G42)</f>
        <v>8442.787528767120</v>
      </c>
      <c r="H17" s="161">
        <f>($B$17*H42)</f>
        <v>9347.371906849319</v>
      </c>
      <c r="I17" s="161">
        <f>($B$17*I42)</f>
        <v>9045.843780821921</v>
      </c>
      <c r="J17" s="161">
        <f>($B$17*J42)</f>
        <v>9347.371906849319</v>
      </c>
      <c r="K17" s="161">
        <f>($B$17*K42)</f>
        <v>9045.843780821921</v>
      </c>
      <c r="L17" s="161">
        <f>($B$17*L42)</f>
        <v>9347.371906849319</v>
      </c>
      <c r="M17" s="161">
        <f>($B$17*M42)</f>
        <v>9347.371906849319</v>
      </c>
      <c r="N17" s="161">
        <f>($B$17*N42)</f>
        <v>9045.843780821921</v>
      </c>
      <c r="O17" s="161">
        <f>($B$17*O42)</f>
        <v>9347.371906849319</v>
      </c>
      <c r="P17" s="161">
        <f>($B$17*P42)</f>
        <v>9045.843780821921</v>
      </c>
      <c r="Q17" s="161">
        <f>($B$17*Q42)</f>
        <v>9347.371906849319</v>
      </c>
      <c r="R17" s="161">
        <f>SUM(F17:Q17)</f>
        <v>110057.766</v>
      </c>
      <c r="S17" s="165">
        <f>(R17/$R$10)</f>
        <v>0.205543926941714</v>
      </c>
    </row>
    <row r="18" ht="14.75" customHeight="1">
      <c r="A18" t="s" s="160">
        <v>87</v>
      </c>
      <c r="B18" s="159">
        <f>'Assumptions'!B26</f>
        <v>35000</v>
      </c>
      <c r="C18" s="144"/>
      <c r="D18" s="164">
        <f>'Industry Averages (High Profit)'!C25</f>
        <v>0.07000000000000001</v>
      </c>
      <c r="E18" t="s" s="167">
        <v>2</v>
      </c>
      <c r="F18" s="161">
        <f>($B$18/12)</f>
        <v>2916.666666666670</v>
      </c>
      <c r="G18" s="161">
        <f>($B$18/12)</f>
        <v>2916.666666666670</v>
      </c>
      <c r="H18" s="161">
        <f>($B$18/12)</f>
        <v>2916.666666666670</v>
      </c>
      <c r="I18" s="161">
        <f>($B$18/12)</f>
        <v>2916.666666666670</v>
      </c>
      <c r="J18" s="161">
        <f>($B$18/12)</f>
        <v>2916.666666666670</v>
      </c>
      <c r="K18" s="161">
        <f>($B$18/12)</f>
        <v>2916.666666666670</v>
      </c>
      <c r="L18" s="161">
        <f>($B$18/12)</f>
        <v>2916.666666666670</v>
      </c>
      <c r="M18" s="161">
        <f>($B$18/12)</f>
        <v>2916.666666666670</v>
      </c>
      <c r="N18" s="161">
        <f>($B$18/12)</f>
        <v>2916.666666666670</v>
      </c>
      <c r="O18" s="161">
        <f>($B$18/12)</f>
        <v>2916.666666666670</v>
      </c>
      <c r="P18" s="161">
        <f>($B$18/12)</f>
        <v>2916.666666666670</v>
      </c>
      <c r="Q18" s="161">
        <f>($B$18/12)</f>
        <v>2916.666666666670</v>
      </c>
      <c r="R18" s="161">
        <f>SUM(F18:Q18)</f>
        <v>35000</v>
      </c>
      <c r="S18" s="165">
        <f>(R18/$R$10)</f>
        <v>0.0653660137255556</v>
      </c>
    </row>
    <row r="19" ht="14.75" customHeight="1">
      <c r="A19" t="s" s="160">
        <v>211</v>
      </c>
      <c r="B19" s="159">
        <f>($B$10*D19)</f>
        <v>9639</v>
      </c>
      <c r="C19" s="144"/>
      <c r="D19" s="164">
        <f>'Industry Averages (High Profit)'!C26+'Industry Averages (High Profit)'!C27+'Industry Averages (High Profit)'!C28</f>
        <v>0.018</v>
      </c>
      <c r="E19" s="144"/>
      <c r="F19" s="161">
        <f>($B$19/12)</f>
        <v>803.25</v>
      </c>
      <c r="G19" s="161">
        <f>($B$19/12)</f>
        <v>803.25</v>
      </c>
      <c r="H19" s="161">
        <f>($B$19/12)</f>
        <v>803.25</v>
      </c>
      <c r="I19" s="161">
        <f>($B$19/12)</f>
        <v>803.25</v>
      </c>
      <c r="J19" s="161">
        <f>($B$19/12)</f>
        <v>803.25</v>
      </c>
      <c r="K19" s="161">
        <f>($B$19/12)</f>
        <v>803.25</v>
      </c>
      <c r="L19" s="161">
        <f>($B$19/12)</f>
        <v>803.25</v>
      </c>
      <c r="M19" s="161">
        <f>($B$19/12)</f>
        <v>803.25</v>
      </c>
      <c r="N19" s="161">
        <f>($B$19/12)</f>
        <v>803.25</v>
      </c>
      <c r="O19" s="161">
        <f>($B$19/12)</f>
        <v>803.25</v>
      </c>
      <c r="P19" s="161">
        <f>($B$19/12)</f>
        <v>803.25</v>
      </c>
      <c r="Q19" s="161">
        <f>($B$19/12)</f>
        <v>803.25</v>
      </c>
      <c r="R19" s="161">
        <f>SUM(F19:Q19)</f>
        <v>9639</v>
      </c>
      <c r="S19" s="165">
        <f>(R19/$R$10)</f>
        <v>0.018001800180018</v>
      </c>
    </row>
    <row r="20" ht="14.75" customHeight="1">
      <c r="A20" t="s" s="160">
        <v>212</v>
      </c>
      <c r="B20" s="159">
        <f>($B$10*$D20)</f>
        <v>5355</v>
      </c>
      <c r="C20" s="144"/>
      <c r="D20" s="164">
        <f>'Assumptions'!C50</f>
        <v>0.01</v>
      </c>
      <c r="E20" t="s" s="167">
        <v>2</v>
      </c>
      <c r="F20" s="161">
        <f>(F10*$D$20)</f>
        <v>367.353</v>
      </c>
      <c r="G20" s="161">
        <f>(G10*$D$20)</f>
        <v>369.495</v>
      </c>
      <c r="H20" s="161">
        <f>(H10*$D$20)</f>
        <v>402.1605</v>
      </c>
      <c r="I20" s="161">
        <f>(I10*$D$20)</f>
        <v>352.8945</v>
      </c>
      <c r="J20" s="161">
        <f>(J10*$D$20)</f>
        <v>484.6275</v>
      </c>
      <c r="K20" s="161">
        <f>(K10*$D$20)</f>
        <v>409.122</v>
      </c>
      <c r="L20" s="161">
        <f>(L10*$D$20)</f>
        <v>431.0775</v>
      </c>
      <c r="M20" s="161">
        <f>(M10*$D$20)</f>
        <v>442.323</v>
      </c>
      <c r="N20" s="161">
        <f>(N10*$D$20)</f>
        <v>403.2315</v>
      </c>
      <c r="O20" s="161">
        <f>(O10*$D$20)</f>
        <v>410.7285</v>
      </c>
      <c r="P20" s="161">
        <f>(P10*$D$20)</f>
        <v>465.3495</v>
      </c>
      <c r="Q20" s="161">
        <f>(Q10*$D$20)</f>
        <v>816.102</v>
      </c>
      <c r="R20" s="161">
        <f>SUM(F20:Q20)</f>
        <v>5354.4645</v>
      </c>
      <c r="S20" s="165">
        <f>(R20/$R$10)</f>
        <v>0.01</v>
      </c>
    </row>
    <row r="21" ht="14.75" customHeight="1">
      <c r="A21" t="s" s="160">
        <v>96</v>
      </c>
      <c r="B21" s="159">
        <f>($B$10*$D21)</f>
        <v>3213</v>
      </c>
      <c r="C21" s="144"/>
      <c r="D21" s="164">
        <f>'Industry Averages (High Profit)'!C33</f>
        <v>0.006</v>
      </c>
      <c r="E21" s="144"/>
      <c r="F21" s="161">
        <f>($B$21/12)</f>
        <v>267.75</v>
      </c>
      <c r="G21" s="161">
        <f>($B$21/12)</f>
        <v>267.75</v>
      </c>
      <c r="H21" s="161">
        <f>($B$21/12)</f>
        <v>267.75</v>
      </c>
      <c r="I21" s="161">
        <f>($B$21/12)</f>
        <v>267.75</v>
      </c>
      <c r="J21" s="161">
        <f>($B$21/12)</f>
        <v>267.75</v>
      </c>
      <c r="K21" s="161">
        <f>($B$21/12)</f>
        <v>267.75</v>
      </c>
      <c r="L21" s="161">
        <f>($B$21/12)</f>
        <v>267.75</v>
      </c>
      <c r="M21" s="161">
        <f>($B$21/12)</f>
        <v>267.75</v>
      </c>
      <c r="N21" s="161">
        <f>($B$21/12)</f>
        <v>267.75</v>
      </c>
      <c r="O21" s="161">
        <f>($B$21/12)</f>
        <v>267.75</v>
      </c>
      <c r="P21" s="161">
        <f>($B$21/12)</f>
        <v>267.75</v>
      </c>
      <c r="Q21" s="161">
        <f>($B$21/12)</f>
        <v>267.75</v>
      </c>
      <c r="R21" s="161">
        <f>SUM(F21:Q21)</f>
        <v>3213</v>
      </c>
      <c r="S21" s="165">
        <f>(R21/$R$10)</f>
        <v>0.006000600060006</v>
      </c>
    </row>
    <row r="22" ht="14.75" customHeight="1">
      <c r="A22" t="s" s="160">
        <v>164</v>
      </c>
      <c r="B22" s="159">
        <f>($B$10*$D22)</f>
        <v>4284</v>
      </c>
      <c r="C22" s="144"/>
      <c r="D22" s="164">
        <f>'Industry Averages (High Profit)'!C34</f>
        <v>0.008</v>
      </c>
      <c r="E22" s="144"/>
      <c r="F22" s="161">
        <f>($B$22/12)</f>
        <v>357</v>
      </c>
      <c r="G22" s="161">
        <f>($B$22/12)</f>
        <v>357</v>
      </c>
      <c r="H22" s="161">
        <f>($B$22/12)</f>
        <v>357</v>
      </c>
      <c r="I22" s="161">
        <f>($B$22/12)</f>
        <v>357</v>
      </c>
      <c r="J22" s="161">
        <f>($B$22/12)</f>
        <v>357</v>
      </c>
      <c r="K22" s="161">
        <f>($B$22/12)</f>
        <v>357</v>
      </c>
      <c r="L22" s="161">
        <f>($B$22/12)</f>
        <v>357</v>
      </c>
      <c r="M22" s="161">
        <f>($B$22/12)</f>
        <v>357</v>
      </c>
      <c r="N22" s="161">
        <f>($B$22/12)</f>
        <v>357</v>
      </c>
      <c r="O22" s="161">
        <f>($B$22/12)</f>
        <v>357</v>
      </c>
      <c r="P22" s="161">
        <f>($B$22/12)</f>
        <v>357</v>
      </c>
      <c r="Q22" s="161">
        <f>($B$22/12)</f>
        <v>357</v>
      </c>
      <c r="R22" s="161">
        <f>SUM(F22:Q22)</f>
        <v>4284</v>
      </c>
      <c r="S22" s="165">
        <f>(R22/$R$10)</f>
        <v>0.008000800080008001</v>
      </c>
    </row>
    <row r="23" ht="14.75" customHeight="1">
      <c r="A23" t="s" s="160">
        <v>213</v>
      </c>
      <c r="B23" s="159">
        <f>($B$10*$D23)</f>
        <v>7497</v>
      </c>
      <c r="C23" s="144"/>
      <c r="D23" s="164">
        <f>'Industry Averages (High Profit)'!C35</f>
        <v>0.014</v>
      </c>
      <c r="E23" s="144"/>
      <c r="F23" s="161">
        <f>($B$23/12)</f>
        <v>624.75</v>
      </c>
      <c r="G23" s="161">
        <f>($B$23/12)</f>
        <v>624.75</v>
      </c>
      <c r="H23" s="161">
        <f>($B$23/12)</f>
        <v>624.75</v>
      </c>
      <c r="I23" s="161">
        <f>($B$23/12)</f>
        <v>624.75</v>
      </c>
      <c r="J23" s="161">
        <f>($B$23/12)</f>
        <v>624.75</v>
      </c>
      <c r="K23" s="161">
        <f>($B$23/12)</f>
        <v>624.75</v>
      </c>
      <c r="L23" s="161">
        <f>($B$23/12)</f>
        <v>624.75</v>
      </c>
      <c r="M23" s="161">
        <f>($B$23/12)</f>
        <v>624.75</v>
      </c>
      <c r="N23" s="161">
        <f>($B$23/12)</f>
        <v>624.75</v>
      </c>
      <c r="O23" s="161">
        <f>($B$23/12)</f>
        <v>624.75</v>
      </c>
      <c r="P23" s="161">
        <f>($B$23/12)</f>
        <v>624.75</v>
      </c>
      <c r="Q23" s="161">
        <f>($B$23/12)</f>
        <v>624.75</v>
      </c>
      <c r="R23" s="161">
        <f>SUM(F23:Q23)</f>
        <v>7497</v>
      </c>
      <c r="S23" s="165">
        <f>(R23/$R$10)</f>
        <v>0.014001400140014</v>
      </c>
    </row>
    <row r="24" ht="14.75" customHeight="1">
      <c r="A24" t="s" s="160">
        <v>100</v>
      </c>
      <c r="B24" s="159">
        <f>($B$10*$D24)</f>
        <v>2142</v>
      </c>
      <c r="C24" s="144"/>
      <c r="D24" s="164">
        <f>'Industry Averages (High Profit)'!C36</f>
        <v>0.004</v>
      </c>
      <c r="E24" s="144"/>
      <c r="F24" s="145"/>
      <c r="G24" s="161"/>
      <c r="H24" s="145"/>
      <c r="I24" s="145"/>
      <c r="J24" s="145"/>
      <c r="K24" s="145"/>
      <c r="L24" s="145"/>
      <c r="M24" s="145"/>
      <c r="N24" s="145"/>
      <c r="O24" s="161"/>
      <c r="P24" s="145"/>
      <c r="Q24" s="161">
        <f>$B$24</f>
        <v>2142</v>
      </c>
      <c r="R24" s="161">
        <f>SUM(F24:Q24)</f>
        <v>2142</v>
      </c>
      <c r="S24" s="165">
        <f>(R24/$R$10)</f>
        <v>0.004000400040004</v>
      </c>
    </row>
    <row r="25" ht="14.75" customHeight="1">
      <c r="A25" t="s" s="160">
        <v>214</v>
      </c>
      <c r="B25" s="159">
        <f>($B$10*$D25)</f>
        <v>2142</v>
      </c>
      <c r="C25" s="144"/>
      <c r="D25" s="164">
        <f>'Industry Averages (High Profit)'!C37</f>
        <v>0.004</v>
      </c>
      <c r="E25" s="144"/>
      <c r="F25" t="s" s="146">
        <v>2</v>
      </c>
      <c r="G25" s="161">
        <f>($B$25/2)</f>
        <v>1071</v>
      </c>
      <c r="H25" t="s" s="146">
        <v>2</v>
      </c>
      <c r="I25" t="s" s="146">
        <v>2</v>
      </c>
      <c r="J25" t="s" s="146">
        <v>2</v>
      </c>
      <c r="K25" t="s" s="146">
        <v>2</v>
      </c>
      <c r="L25" t="s" s="146">
        <v>2</v>
      </c>
      <c r="M25" t="s" s="146">
        <v>2</v>
      </c>
      <c r="N25" t="s" s="146">
        <v>2</v>
      </c>
      <c r="O25" s="161">
        <f>($B$25/2)</f>
        <v>1071</v>
      </c>
      <c r="P25" t="s" s="146">
        <v>2</v>
      </c>
      <c r="Q25" t="s" s="146">
        <v>2</v>
      </c>
      <c r="R25" s="161">
        <f>SUM(F25:Q25)</f>
        <v>2142</v>
      </c>
      <c r="S25" s="165">
        <f>(R25/$R$10)</f>
        <v>0.004000400040004</v>
      </c>
    </row>
    <row r="26" ht="14.75" customHeight="1">
      <c r="A26" t="s" s="160">
        <v>215</v>
      </c>
      <c r="B26" s="159">
        <f>($B$10*$D26)</f>
        <v>2142</v>
      </c>
      <c r="C26" s="144"/>
      <c r="D26" s="164">
        <f>'Industry Averages (High Profit)'!C38</f>
        <v>0.004</v>
      </c>
      <c r="E26" s="144"/>
      <c r="F26" t="s" s="146">
        <v>2</v>
      </c>
      <c r="G26" t="s" s="146">
        <v>2</v>
      </c>
      <c r="H26" t="s" s="146">
        <v>2</v>
      </c>
      <c r="I26" t="s" s="146">
        <v>2</v>
      </c>
      <c r="J26" s="161">
        <f>B26</f>
        <v>2142</v>
      </c>
      <c r="K26" t="s" s="146">
        <v>2</v>
      </c>
      <c r="L26" t="s" s="146">
        <v>2</v>
      </c>
      <c r="M26" t="s" s="146">
        <v>2</v>
      </c>
      <c r="N26" t="s" s="146">
        <v>2</v>
      </c>
      <c r="O26" t="s" s="146">
        <v>2</v>
      </c>
      <c r="P26" t="s" s="146">
        <v>2</v>
      </c>
      <c r="Q26" t="s" s="146">
        <v>2</v>
      </c>
      <c r="R26" s="161">
        <f>SUM(F26:Q26)</f>
        <v>2142</v>
      </c>
      <c r="S26" s="165">
        <f>(R26/$R$10)</f>
        <v>0.004000400040004</v>
      </c>
    </row>
    <row r="27" ht="14.75" customHeight="1">
      <c r="A27" t="s" s="160">
        <v>216</v>
      </c>
      <c r="B27" s="159">
        <f>($B$10*$D27)</f>
        <v>12852</v>
      </c>
      <c r="C27" s="144"/>
      <c r="D27" s="164">
        <f>'Industry Averages (High Profit)'!C40</f>
        <v>0.024</v>
      </c>
      <c r="E27" s="144"/>
      <c r="F27" s="161">
        <f>(F10*$D$27)</f>
        <v>881.6472</v>
      </c>
      <c r="G27" s="161">
        <f>(G10*$D$27)</f>
        <v>886.788</v>
      </c>
      <c r="H27" s="161">
        <f>(H10*$D$27)</f>
        <v>965.1852</v>
      </c>
      <c r="I27" s="161">
        <f>(I10*$D$27)</f>
        <v>846.9468000000001</v>
      </c>
      <c r="J27" s="161">
        <f>(J10*$D$27)</f>
        <v>1163.106</v>
      </c>
      <c r="K27" s="161">
        <f>(K10*$D$27)</f>
        <v>981.8928</v>
      </c>
      <c r="L27" s="161">
        <f>(L10*$D$27)</f>
        <v>1034.586</v>
      </c>
      <c r="M27" s="161">
        <f>(M10*$D$27)</f>
        <v>1061.5752</v>
      </c>
      <c r="N27" s="161">
        <f>(N10*$D$27)</f>
        <v>967.7556</v>
      </c>
      <c r="O27" s="161">
        <f>(O10*$D$27)</f>
        <v>985.7483999999999</v>
      </c>
      <c r="P27" s="161">
        <f>(P10*$D$27)</f>
        <v>1116.8388</v>
      </c>
      <c r="Q27" s="161">
        <f>(Q10*$D$27)</f>
        <v>1958.6448</v>
      </c>
      <c r="R27" s="161">
        <f>SUM(F27:Q27)</f>
        <v>12850.7148</v>
      </c>
      <c r="S27" s="165">
        <f>(R27/$R$10)</f>
        <v>0.024</v>
      </c>
    </row>
    <row r="28" ht="14.75" customHeight="1">
      <c r="A28" t="s" s="160">
        <v>177</v>
      </c>
      <c r="B28" s="159">
        <f>($B$10*$D28)</f>
        <v>2142</v>
      </c>
      <c r="C28" s="144"/>
      <c r="D28" s="164">
        <f>'Industry Averages (High Profit)'!C41</f>
        <v>0.004</v>
      </c>
      <c r="E28" s="144"/>
      <c r="F28" s="161">
        <f>($B$28/2)</f>
        <v>1071</v>
      </c>
      <c r="G28" t="s" s="146">
        <v>2</v>
      </c>
      <c r="H28" t="s" s="146">
        <v>2</v>
      </c>
      <c r="I28" t="s" s="146">
        <v>2</v>
      </c>
      <c r="J28" t="s" s="146">
        <v>2</v>
      </c>
      <c r="K28" t="s" s="146">
        <v>2</v>
      </c>
      <c r="L28" s="161">
        <f>($B$28/2)</f>
        <v>1071</v>
      </c>
      <c r="M28" t="s" s="146">
        <v>2</v>
      </c>
      <c r="N28" t="s" s="146">
        <v>2</v>
      </c>
      <c r="O28" t="s" s="146">
        <v>2</v>
      </c>
      <c r="P28" t="s" s="146">
        <v>2</v>
      </c>
      <c r="Q28" t="s" s="146">
        <v>2</v>
      </c>
      <c r="R28" s="161">
        <f>SUM(F28:Q28)</f>
        <v>2142</v>
      </c>
      <c r="S28" s="165">
        <f>(R28/$R$10)</f>
        <v>0.004000400040004</v>
      </c>
    </row>
    <row r="29" ht="14.75" customHeight="1">
      <c r="A29" t="s" s="160">
        <v>111</v>
      </c>
      <c r="B29" s="159">
        <f>($B$10*$D29)</f>
        <v>1606.5</v>
      </c>
      <c r="C29" s="144"/>
      <c r="D29" s="164">
        <f>'Industry Averages (High Profit)'!C42</f>
        <v>0.003</v>
      </c>
      <c r="E29" s="144"/>
      <c r="F29" t="s" s="146">
        <v>2</v>
      </c>
      <c r="G29" t="s" s="146">
        <v>2</v>
      </c>
      <c r="H29" s="161">
        <f>($B$29/3)</f>
        <v>535.5</v>
      </c>
      <c r="I29" t="s" s="146">
        <v>2</v>
      </c>
      <c r="J29" t="s" s="146">
        <v>2</v>
      </c>
      <c r="K29" s="161">
        <f>($B$29/3)</f>
        <v>535.5</v>
      </c>
      <c r="L29" t="s" s="146">
        <v>2</v>
      </c>
      <c r="M29" t="s" s="146">
        <v>2</v>
      </c>
      <c r="N29" t="s" s="146">
        <v>2</v>
      </c>
      <c r="O29" t="s" s="146">
        <v>2</v>
      </c>
      <c r="P29" s="161">
        <f>($B$29/3)</f>
        <v>535.5</v>
      </c>
      <c r="Q29" t="s" s="146">
        <v>2</v>
      </c>
      <c r="R29" s="161">
        <f>SUM(F29:Q29)</f>
        <v>1606.5</v>
      </c>
      <c r="S29" s="165">
        <f>(R29/$R$10)</f>
        <v>0.003000300030003</v>
      </c>
    </row>
    <row r="30" ht="14.75" customHeight="1">
      <c r="A30" t="s" s="160">
        <v>217</v>
      </c>
      <c r="B30" s="159">
        <f>($B$10*$D30)</f>
        <v>2142</v>
      </c>
      <c r="C30" s="144"/>
      <c r="D30" s="164">
        <f>'Industry Averages (High Profit)'!C43</f>
        <v>0.004</v>
      </c>
      <c r="E30" s="144"/>
      <c r="F30" s="161"/>
      <c r="G30" s="161"/>
      <c r="H30" s="161"/>
      <c r="I30" s="161"/>
      <c r="J30" s="161"/>
      <c r="K30" s="161"/>
      <c r="L30" s="161"/>
      <c r="M30" s="161"/>
      <c r="N30" s="161"/>
      <c r="O30" s="161"/>
      <c r="P30" s="161"/>
      <c r="Q30" s="161">
        <f>B30</f>
        <v>2142</v>
      </c>
      <c r="R30" s="161">
        <f>SUM(F30:Q30)</f>
        <v>2142</v>
      </c>
      <c r="S30" s="165">
        <f>(R30/$R$10)</f>
        <v>0.004000400040004</v>
      </c>
    </row>
    <row r="31" ht="14.75" customHeight="1">
      <c r="A31" t="s" s="160">
        <v>218</v>
      </c>
      <c r="B31" s="159">
        <f>($B$10*$D31)</f>
        <v>1606.5</v>
      </c>
      <c r="C31" s="144"/>
      <c r="D31" s="164">
        <f>'Industry Averages (High Profit)'!C44</f>
        <v>0.003</v>
      </c>
      <c r="E31" s="144"/>
      <c r="F31" s="161">
        <f>($B$31/12)</f>
        <v>133.875</v>
      </c>
      <c r="G31" s="161">
        <f>($B$31/12)</f>
        <v>133.875</v>
      </c>
      <c r="H31" s="161">
        <f>($B$31/12)</f>
        <v>133.875</v>
      </c>
      <c r="I31" s="161">
        <f>($B$31/12)</f>
        <v>133.875</v>
      </c>
      <c r="J31" s="161">
        <f>($B$31/12)</f>
        <v>133.875</v>
      </c>
      <c r="K31" s="161">
        <f>($B$31/12)</f>
        <v>133.875</v>
      </c>
      <c r="L31" s="161">
        <f>($B$31/12)</f>
        <v>133.875</v>
      </c>
      <c r="M31" s="161">
        <f>($B$31/12)</f>
        <v>133.875</v>
      </c>
      <c r="N31" s="161">
        <f>($B$31/12)</f>
        <v>133.875</v>
      </c>
      <c r="O31" s="161">
        <f>($B$31/12)</f>
        <v>133.875</v>
      </c>
      <c r="P31" s="161">
        <f>($B$31/12)</f>
        <v>133.875</v>
      </c>
      <c r="Q31" s="161">
        <f>($B$31/12)</f>
        <v>133.875</v>
      </c>
      <c r="R31" s="161">
        <f>SUM(F31:Q31)</f>
        <v>1606.5</v>
      </c>
      <c r="S31" s="165">
        <f>(R31/$R$10)</f>
        <v>0.003000300030003</v>
      </c>
    </row>
    <row r="32" ht="14.75" customHeight="1">
      <c r="A32" t="s" s="160">
        <v>219</v>
      </c>
      <c r="B32" s="159">
        <f>($B$10*$D32)</f>
        <v>2142</v>
      </c>
      <c r="C32" s="144"/>
      <c r="D32" s="164">
        <f>'Industry Averages (High Profit)'!C45</f>
        <v>0.004</v>
      </c>
      <c r="E32" s="144"/>
      <c r="F32" s="161">
        <f>($B$32/12)</f>
        <v>178.5</v>
      </c>
      <c r="G32" s="161">
        <f>($B$32/12)</f>
        <v>178.5</v>
      </c>
      <c r="H32" s="161">
        <f>($B$32/12)</f>
        <v>178.5</v>
      </c>
      <c r="I32" s="161">
        <f>($B$32/12)</f>
        <v>178.5</v>
      </c>
      <c r="J32" s="161">
        <f>($B$32/12)</f>
        <v>178.5</v>
      </c>
      <c r="K32" s="161">
        <f>($B$32/12)</f>
        <v>178.5</v>
      </c>
      <c r="L32" s="161">
        <f>($B$32/12)</f>
        <v>178.5</v>
      </c>
      <c r="M32" s="161">
        <f>($B$32/12)</f>
        <v>178.5</v>
      </c>
      <c r="N32" s="161">
        <f>($B$32/12)</f>
        <v>178.5</v>
      </c>
      <c r="O32" s="161">
        <f>($B$32/12)</f>
        <v>178.5</v>
      </c>
      <c r="P32" s="161">
        <f>($B$32/12)</f>
        <v>178.5</v>
      </c>
      <c r="Q32" s="161">
        <f>($B$32/12)</f>
        <v>178.5</v>
      </c>
      <c r="R32" s="161">
        <f>SUM(F32:Q32)</f>
        <v>2142</v>
      </c>
      <c r="S32" s="165">
        <f>(R32/$R$10)</f>
        <v>0.004000400040004</v>
      </c>
    </row>
    <row r="33" ht="14.75" customHeight="1">
      <c r="A33" t="s" s="160">
        <v>220</v>
      </c>
      <c r="B33" s="159">
        <f>($B$10*$D33)</f>
        <v>6426</v>
      </c>
      <c r="C33" s="144"/>
      <c r="D33" s="164">
        <f>'Industry Averages (High Profit)'!C46</f>
        <v>0.012</v>
      </c>
      <c r="E33" s="144"/>
      <c r="F33" s="161">
        <f>($B$33/12)</f>
        <v>535.5</v>
      </c>
      <c r="G33" s="161">
        <f>($B$33/12)</f>
        <v>535.5</v>
      </c>
      <c r="H33" s="161">
        <f>($B$33/12)</f>
        <v>535.5</v>
      </c>
      <c r="I33" s="161">
        <f>($B$33/12)</f>
        <v>535.5</v>
      </c>
      <c r="J33" s="161">
        <f>($B$33/12)</f>
        <v>535.5</v>
      </c>
      <c r="K33" s="161">
        <f>($B$33/12)</f>
        <v>535.5</v>
      </c>
      <c r="L33" s="161">
        <f>($B$33/12)</f>
        <v>535.5</v>
      </c>
      <c r="M33" s="161">
        <f>($B$33/12)</f>
        <v>535.5</v>
      </c>
      <c r="N33" s="161">
        <f>($B$33/12)</f>
        <v>535.5</v>
      </c>
      <c r="O33" s="161">
        <f>($B$33/12)</f>
        <v>535.5</v>
      </c>
      <c r="P33" s="161">
        <f>($B$33/12)</f>
        <v>535.5</v>
      </c>
      <c r="Q33" s="161">
        <f>($B$33/12)</f>
        <v>535.5</v>
      </c>
      <c r="R33" s="161">
        <f>SUM(F33:Q33)</f>
        <v>6426</v>
      </c>
      <c r="S33" s="165">
        <f>(R33/$R$10)</f>
        <v>0.012001200120012</v>
      </c>
    </row>
    <row r="34" ht="9" customHeight="1">
      <c r="A34" t="s" s="169">
        <v>2</v>
      </c>
      <c r="B34" s="159"/>
      <c r="C34" s="144"/>
      <c r="D34" s="144"/>
      <c r="E34" s="144"/>
      <c r="F34" s="145"/>
      <c r="G34" s="145"/>
      <c r="H34" s="145"/>
      <c r="I34" s="145"/>
      <c r="J34" s="145"/>
      <c r="K34" s="145"/>
      <c r="L34" s="145"/>
      <c r="M34" s="145"/>
      <c r="N34" s="145"/>
      <c r="O34" s="145"/>
      <c r="P34" s="145"/>
      <c r="Q34" t="s" s="146">
        <v>2</v>
      </c>
      <c r="R34" s="161"/>
      <c r="S34" t="s" s="146">
        <v>2</v>
      </c>
    </row>
    <row r="35" ht="14.75" customHeight="1">
      <c r="A35" t="s" s="160">
        <v>221</v>
      </c>
      <c r="B35" s="159">
        <f>SUM(B14:B33)</f>
        <v>495810.266</v>
      </c>
      <c r="C35" s="144"/>
      <c r="D35" s="144"/>
      <c r="E35" s="144"/>
      <c r="F35" s="161">
        <f>SUM(F14:F34)</f>
        <v>37064.578673516</v>
      </c>
      <c r="G35" s="161">
        <f>SUM(G14:G34)</f>
        <v>36281.4456954338</v>
      </c>
      <c r="H35" s="161">
        <f>SUM(H14:H34)</f>
        <v>38502.663923516</v>
      </c>
      <c r="I35" s="161">
        <f>SUM(I14:I34)</f>
        <v>34872.2535974886</v>
      </c>
      <c r="J35" s="161">
        <f>SUM(J14:J34)</f>
        <v>44785.042823516</v>
      </c>
      <c r="K35" s="161">
        <f>SUM(K14:K34)</f>
        <v>38595.8528474886</v>
      </c>
      <c r="L35" s="161">
        <f>SUM(L14:L34)</f>
        <v>40677.757823516</v>
      </c>
      <c r="M35" s="161">
        <f>SUM(M14:M34)</f>
        <v>40244.377673516</v>
      </c>
      <c r="N35" s="161">
        <f>SUM(N14:N34)</f>
        <v>37726.3614974886</v>
      </c>
      <c r="O35" s="161">
        <f>SUM(O14:O34)</f>
        <v>39523.969523516</v>
      </c>
      <c r="P35" s="161">
        <f>SUM(P14:P34)</f>
        <v>41783.9520974886</v>
      </c>
      <c r="Q35" s="161">
        <f>SUM(Q14:Q34)</f>
        <v>65721.646973516006</v>
      </c>
      <c r="R35" s="161">
        <f>SUM(R14:R34)</f>
        <v>495779.90315</v>
      </c>
      <c r="S35" s="165">
        <f>(R35/$R$10)</f>
        <v>0.925918741547357</v>
      </c>
    </row>
    <row r="36" ht="14.75" customHeight="1">
      <c r="A36" s="153"/>
      <c r="B36" s="159"/>
      <c r="C36" s="144"/>
      <c r="D36" s="144"/>
      <c r="E36" s="144"/>
      <c r="F36" s="145"/>
      <c r="G36" s="145"/>
      <c r="H36" s="145"/>
      <c r="I36" s="145"/>
      <c r="J36" s="145"/>
      <c r="K36" s="145"/>
      <c r="L36" s="145"/>
      <c r="M36" s="145"/>
      <c r="N36" s="145"/>
      <c r="O36" s="145"/>
      <c r="P36" s="145"/>
      <c r="Q36" s="145"/>
      <c r="R36" s="145"/>
      <c r="S36" s="145"/>
    </row>
    <row r="37" ht="14.75" customHeight="1">
      <c r="A37" t="s" s="170">
        <v>119</v>
      </c>
      <c r="B37" s="162">
        <f>(B10-B35)</f>
        <v>39689.734</v>
      </c>
      <c r="C37" s="171"/>
      <c r="D37" s="171"/>
      <c r="E37" s="171"/>
      <c r="F37" s="173">
        <f>(F10-F35)</f>
        <v>-329.278673516</v>
      </c>
      <c r="G37" s="173">
        <f>(G10-G35)</f>
        <v>668.0543045662</v>
      </c>
      <c r="H37" s="173">
        <f>(H10-H35)</f>
        <v>1713.386076484</v>
      </c>
      <c r="I37" s="173">
        <f>(I10-I35)</f>
        <v>417.1964025114</v>
      </c>
      <c r="J37" s="173">
        <f>(J10-J35)</f>
        <v>3677.707176484</v>
      </c>
      <c r="K37" s="173">
        <f>(K10-K35)</f>
        <v>2316.3471525114</v>
      </c>
      <c r="L37" s="173">
        <f>(L10-L35)</f>
        <v>2429.992176484</v>
      </c>
      <c r="M37" s="173">
        <f>(M10-M35)</f>
        <v>3987.922326484</v>
      </c>
      <c r="N37" s="173">
        <f>(N10-N35)</f>
        <v>2596.7885025114</v>
      </c>
      <c r="O37" s="173">
        <f>(O10-O35)</f>
        <v>1548.880476484</v>
      </c>
      <c r="P37" s="173">
        <f>(P10-P35)</f>
        <v>4750.9979025114</v>
      </c>
      <c r="Q37" s="173">
        <f>(Q10-Q35)</f>
        <v>15888.553026484</v>
      </c>
      <c r="R37" s="173">
        <f>SUM(F37:Q37)</f>
        <v>39666.5468499998</v>
      </c>
      <c r="S37" s="174">
        <f>R37/R10</f>
        <v>0.0740812584526423</v>
      </c>
    </row>
    <row r="38" ht="14.75" customHeight="1">
      <c r="A38" t="s" s="160">
        <v>222</v>
      </c>
      <c r="B38" s="159"/>
      <c r="C38" s="144"/>
      <c r="D38" s="144"/>
      <c r="E38" s="144"/>
      <c r="F38" s="161">
        <f>'Funding'!B15</f>
        <v>0</v>
      </c>
      <c r="G38" s="161">
        <f>$F$38</f>
        <v>0</v>
      </c>
      <c r="H38" s="161">
        <f>$F$38</f>
        <v>0</v>
      </c>
      <c r="I38" s="161">
        <f>$F$38</f>
        <v>0</v>
      </c>
      <c r="J38" s="161">
        <f>$F$38</f>
        <v>0</v>
      </c>
      <c r="K38" s="161">
        <f>$F$38</f>
        <v>0</v>
      </c>
      <c r="L38" s="161">
        <f>$F$38</f>
        <v>0</v>
      </c>
      <c r="M38" s="161">
        <f>$F$38</f>
        <v>0</v>
      </c>
      <c r="N38" s="161">
        <f>$F$38</f>
        <v>0</v>
      </c>
      <c r="O38" s="161">
        <f>$F$38</f>
        <v>0</v>
      </c>
      <c r="P38" s="161">
        <f>$F$38</f>
        <v>0</v>
      </c>
      <c r="Q38" s="161">
        <f>$F$38</f>
        <v>0</v>
      </c>
      <c r="R38" s="173">
        <f>SUM(F38:Q38)</f>
        <v>0</v>
      </c>
      <c r="S38" s="145"/>
    </row>
    <row r="39" ht="14.75" customHeight="1">
      <c r="A39" t="s" s="148">
        <v>223</v>
      </c>
      <c r="B39" s="159"/>
      <c r="C39" s="144"/>
      <c r="D39" s="144"/>
      <c r="E39" s="144"/>
      <c r="F39" s="161">
        <f>(F37-F38)</f>
        <v>-329.278673516</v>
      </c>
      <c r="G39" s="161">
        <f>(G37-G38)</f>
        <v>668.0543045662</v>
      </c>
      <c r="H39" s="161">
        <f>(H37-H38)</f>
        <v>1713.386076484</v>
      </c>
      <c r="I39" s="161">
        <f>(I37-I38)</f>
        <v>417.1964025114</v>
      </c>
      <c r="J39" s="161">
        <f>(J37-J38)</f>
        <v>3677.707176484</v>
      </c>
      <c r="K39" s="161">
        <f>(K37-K38)</f>
        <v>2316.3471525114</v>
      </c>
      <c r="L39" s="161">
        <f>(L37-L38)</f>
        <v>2429.992176484</v>
      </c>
      <c r="M39" s="161">
        <f>(M37-M38)</f>
        <v>3987.922326484</v>
      </c>
      <c r="N39" s="161">
        <f>(N37-N38)</f>
        <v>2596.7885025114</v>
      </c>
      <c r="O39" s="161">
        <f>(O37-O38)</f>
        <v>1548.880476484</v>
      </c>
      <c r="P39" s="161">
        <f>(P37-P38)</f>
        <v>4750.9979025114</v>
      </c>
      <c r="Q39" s="161">
        <f>(Q37-Q38)</f>
        <v>15888.553026484</v>
      </c>
      <c r="R39" s="173">
        <f>SUM(F39:Q39)</f>
        <v>39666.5468499998</v>
      </c>
      <c r="S39" s="175">
        <f>(R39/R10)</f>
        <v>0.0740812584526423</v>
      </c>
    </row>
    <row r="40" ht="14.75" customHeight="1">
      <c r="A40" s="153"/>
      <c r="B40" s="159"/>
      <c r="C40" s="144"/>
      <c r="D40" s="144"/>
      <c r="E40" s="144"/>
      <c r="F40" s="145"/>
      <c r="G40" s="145"/>
      <c r="H40" s="145"/>
      <c r="I40" s="145"/>
      <c r="J40" s="145"/>
      <c r="K40" s="145"/>
      <c r="L40" s="145"/>
      <c r="M40" s="145"/>
      <c r="N40" s="145"/>
      <c r="O40" s="145"/>
      <c r="P40" s="145"/>
      <c r="Q40" s="145"/>
      <c r="R40" s="145"/>
      <c r="S40" s="145"/>
    </row>
    <row r="41" ht="14.75" customHeight="1">
      <c r="A41" t="s" s="148">
        <v>225</v>
      </c>
      <c r="B41" s="159"/>
      <c r="C41" s="144"/>
      <c r="D41" s="167"/>
      <c r="E41" s="144"/>
      <c r="F41" s="176">
        <v>31</v>
      </c>
      <c r="G41" s="176">
        <v>28</v>
      </c>
      <c r="H41" s="176">
        <v>31</v>
      </c>
      <c r="I41" s="176">
        <v>30</v>
      </c>
      <c r="J41" s="176">
        <v>31</v>
      </c>
      <c r="K41" s="176">
        <v>30</v>
      </c>
      <c r="L41" s="176">
        <v>31</v>
      </c>
      <c r="M41" s="176">
        <v>31</v>
      </c>
      <c r="N41" s="176">
        <v>30</v>
      </c>
      <c r="O41" s="176">
        <v>31</v>
      </c>
      <c r="P41" s="176">
        <v>30</v>
      </c>
      <c r="Q41" s="176">
        <v>31</v>
      </c>
      <c r="R41" s="176">
        <f>SUM(A41:Q41)</f>
        <v>365</v>
      </c>
      <c r="S41" s="145"/>
    </row>
    <row r="42" ht="14.75" customHeight="1">
      <c r="A42" t="s" s="148">
        <v>226</v>
      </c>
      <c r="B42" s="159"/>
      <c r="C42" s="144"/>
      <c r="D42" s="167"/>
      <c r="E42" s="144"/>
      <c r="F42" s="177">
        <f>(F41/$R$41)</f>
        <v>0.08493150684931509</v>
      </c>
      <c r="G42" s="177">
        <f>(G41/$R$41)</f>
        <v>0.07671232876712331</v>
      </c>
      <c r="H42" s="177">
        <f>(H41/$R$41)</f>
        <v>0.08493150684931509</v>
      </c>
      <c r="I42" s="177">
        <f>(I41/$R$41)</f>
        <v>0.0821917808219178</v>
      </c>
      <c r="J42" s="177">
        <f>(J41/$R$41)</f>
        <v>0.08493150684931509</v>
      </c>
      <c r="K42" s="177">
        <f>(K41/$R$41)</f>
        <v>0.0821917808219178</v>
      </c>
      <c r="L42" s="177">
        <f>(L41/$R$41)</f>
        <v>0.08493150684931509</v>
      </c>
      <c r="M42" s="177">
        <f>(M41/$R$41)</f>
        <v>0.08493150684931509</v>
      </c>
      <c r="N42" s="177">
        <f>(N41/$R$41)</f>
        <v>0.0821917808219178</v>
      </c>
      <c r="O42" s="177">
        <f>(O41/$R$41)</f>
        <v>0.08493150684931509</v>
      </c>
      <c r="P42" s="177">
        <f>(P41/$R$41)</f>
        <v>0.0821917808219178</v>
      </c>
      <c r="Q42" s="177">
        <f>(Q41/$R$41)</f>
        <v>0.08493150684931509</v>
      </c>
      <c r="R42" s="178">
        <f>(R41/$R$41)</f>
        <v>1</v>
      </c>
      <c r="S42" s="145"/>
    </row>
  </sheetData>
  <pageMargins left="0.5" right="0.5" top="0.5" bottom="0.5" header="0.25" footer="0.25"/>
  <pageSetup firstPageNumber="1" fitToHeight="1" fitToWidth="1" scale="100" useFirstPageNumber="0" orientation="landscape" pageOrder="downThenOver"/>
  <headerFooter>
    <oddFooter>&amp;C&amp;"Helvetica Neue,Regular"&amp;12&amp;K000000&amp;P</oddFooter>
  </headerFooter>
</worksheet>
</file>

<file path=xl/worksheets/sheet8.xml><?xml version="1.0" encoding="utf-8"?>
<worksheet xmlns:r="http://schemas.openxmlformats.org/officeDocument/2006/relationships" xmlns="http://schemas.openxmlformats.org/spreadsheetml/2006/main">
  <sheetPr>
    <pageSetUpPr fitToPage="1"/>
  </sheetPr>
  <dimension ref="A1:S45"/>
  <sheetViews>
    <sheetView workbookViewId="0" showGridLines="0" defaultGridColor="1"/>
  </sheetViews>
  <sheetFormatPr defaultColWidth="8.83333" defaultRowHeight="14" customHeight="1" outlineLevelRow="0" outlineLevelCol="0"/>
  <cols>
    <col min="1" max="1" width="19.8516" style="181" customWidth="1"/>
    <col min="2" max="2" width="10.5" style="181" customWidth="1"/>
    <col min="3" max="3" width="3.67188" style="181" customWidth="1"/>
    <col min="4" max="4" width="7.85156" style="181" customWidth="1"/>
    <col min="5" max="5" width="3" style="181" customWidth="1"/>
    <col min="6" max="7" width="9.67188" style="181" customWidth="1"/>
    <col min="8" max="8" width="8.85156" style="181" customWidth="1"/>
    <col min="9" max="9" width="9.35156" style="181" customWidth="1"/>
    <col min="10" max="10" width="9.17188" style="181" customWidth="1"/>
    <col min="11" max="11" width="9" style="181" customWidth="1"/>
    <col min="12" max="18" width="8.85156" style="181" customWidth="1"/>
    <col min="19" max="19" width="8.35156" style="181" customWidth="1"/>
    <col min="20" max="16384" width="8.85156" style="181" customWidth="1"/>
  </cols>
  <sheetData>
    <row r="1" ht="17.75" customHeight="1">
      <c r="A1" t="s" s="139">
        <v>231</v>
      </c>
      <c r="B1" s="140"/>
      <c r="C1" s="140"/>
      <c r="D1" s="140"/>
      <c r="E1" s="140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  <c r="Q1" s="141"/>
      <c r="R1" s="141"/>
      <c r="S1" s="141"/>
    </row>
    <row r="2" ht="17.75" customHeight="1">
      <c r="A2" t="s" s="142">
        <v>186</v>
      </c>
      <c r="B2" t="s" s="143">
        <v>2</v>
      </c>
      <c r="C2" s="144"/>
      <c r="D2" s="144"/>
      <c r="E2" s="144"/>
      <c r="F2" s="145"/>
      <c r="G2" s="145"/>
      <c r="H2" t="s" s="146">
        <v>2</v>
      </c>
      <c r="I2" t="s" s="147">
        <v>2</v>
      </c>
      <c r="J2" s="145"/>
      <c r="K2" s="145"/>
      <c r="L2" s="145"/>
      <c r="M2" s="145"/>
      <c r="N2" s="145"/>
      <c r="O2" s="145"/>
      <c r="P2" s="145"/>
      <c r="Q2" s="145"/>
      <c r="R2" s="145"/>
      <c r="S2" s="145"/>
    </row>
    <row r="3" ht="14.75" customHeight="1">
      <c r="A3" t="s" s="148">
        <v>2</v>
      </c>
      <c r="B3" s="144"/>
      <c r="C3" s="144"/>
      <c r="D3" s="144"/>
      <c r="E3" s="144"/>
      <c r="F3" s="145"/>
      <c r="G3" s="145"/>
      <c r="H3" s="182"/>
      <c r="I3" t="s" s="147">
        <v>232</v>
      </c>
      <c r="J3" s="145"/>
      <c r="K3" s="145"/>
      <c r="L3" s="145"/>
      <c r="M3" s="145"/>
      <c r="N3" s="145"/>
      <c r="O3" s="145"/>
      <c r="P3" s="145"/>
      <c r="Q3" s="145"/>
      <c r="R3" s="145"/>
      <c r="S3" s="145"/>
    </row>
    <row r="4" ht="14.75" customHeight="1">
      <c r="A4" t="s" s="149">
        <v>187</v>
      </c>
      <c r="B4" s="150">
        <f>'Assumptions'!B17</f>
        <v>1400</v>
      </c>
      <c r="C4" s="144"/>
      <c r="D4" s="144"/>
      <c r="E4" s="144"/>
      <c r="F4" s="145"/>
      <c r="G4" s="145"/>
      <c r="H4" s="144"/>
      <c r="I4" s="144"/>
      <c r="J4" s="145"/>
      <c r="K4" s="145"/>
      <c r="L4" s="145"/>
      <c r="M4" s="145"/>
      <c r="N4" s="145"/>
      <c r="O4" s="145"/>
      <c r="P4" s="145"/>
      <c r="Q4" s="145"/>
      <c r="R4" s="145"/>
      <c r="S4" s="145"/>
    </row>
    <row r="5" ht="14.75" customHeight="1">
      <c r="A5" t="s" s="149">
        <v>188</v>
      </c>
      <c r="B5" s="151">
        <f>'Assumptions'!B20</f>
        <v>1260</v>
      </c>
      <c r="C5" s="144"/>
      <c r="D5" s="152">
        <v>1</v>
      </c>
      <c r="E5" s="144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</row>
    <row r="6" ht="14.75" customHeight="1">
      <c r="A6" s="153"/>
      <c r="B6" s="144"/>
      <c r="C6" s="144"/>
      <c r="D6" s="144"/>
      <c r="E6" s="144"/>
      <c r="F6" s="145"/>
      <c r="G6" s="145"/>
      <c r="H6" s="145"/>
      <c r="I6" s="145"/>
      <c r="J6" s="145"/>
      <c r="K6" s="145"/>
      <c r="L6" s="145"/>
      <c r="M6" s="145"/>
      <c r="N6" s="145"/>
      <c r="O6" s="145"/>
      <c r="P6" s="145"/>
      <c r="Q6" s="145"/>
      <c r="R6" s="145"/>
      <c r="S6" s="144"/>
    </row>
    <row r="7" ht="14.75" customHeight="1">
      <c r="A7" t="s" s="154">
        <v>2</v>
      </c>
      <c r="B7" t="s" s="155">
        <v>2</v>
      </c>
      <c r="C7" s="144"/>
      <c r="D7" t="s" s="143">
        <v>189</v>
      </c>
      <c r="E7" s="144"/>
      <c r="F7" t="s" s="155">
        <v>190</v>
      </c>
      <c r="G7" t="s" s="155">
        <v>191</v>
      </c>
      <c r="H7" t="s" s="155">
        <v>192</v>
      </c>
      <c r="I7" t="s" s="155">
        <v>193</v>
      </c>
      <c r="J7" t="s" s="155">
        <v>194</v>
      </c>
      <c r="K7" t="s" s="155">
        <v>195</v>
      </c>
      <c r="L7" t="s" s="155">
        <v>196</v>
      </c>
      <c r="M7" t="s" s="155">
        <v>197</v>
      </c>
      <c r="N7" t="s" s="155">
        <v>198</v>
      </c>
      <c r="O7" t="s" s="155">
        <v>199</v>
      </c>
      <c r="P7" t="s" s="155">
        <v>200</v>
      </c>
      <c r="Q7" t="s" s="155">
        <v>201</v>
      </c>
      <c r="R7" t="s" s="155">
        <v>182</v>
      </c>
      <c r="S7" t="s" s="155">
        <v>202</v>
      </c>
    </row>
    <row r="8" ht="14.75" customHeight="1">
      <c r="A8" s="153"/>
      <c r="B8" s="156"/>
      <c r="C8" s="144"/>
      <c r="D8" t="s" s="157">
        <v>203</v>
      </c>
      <c r="E8" s="158"/>
      <c r="F8" t="s" s="155">
        <v>2</v>
      </c>
      <c r="G8" s="144"/>
      <c r="H8" s="144"/>
      <c r="I8" s="144"/>
      <c r="J8" s="144"/>
      <c r="K8" s="144"/>
      <c r="L8" s="144"/>
      <c r="M8" s="144"/>
      <c r="N8" s="144"/>
      <c r="O8" s="144"/>
      <c r="P8" s="144"/>
      <c r="Q8" s="144"/>
      <c r="R8" t="s" s="155">
        <v>2</v>
      </c>
      <c r="S8" t="s" s="157">
        <v>204</v>
      </c>
    </row>
    <row r="9" ht="14.75" customHeight="1">
      <c r="A9" t="s" s="183">
        <v>233</v>
      </c>
      <c r="B9" s="184">
        <f>SUM('Funding'!B6)</f>
        <v>50000</v>
      </c>
      <c r="C9" s="144"/>
      <c r="D9" s="144"/>
      <c r="E9" s="144"/>
      <c r="F9" s="185">
        <f>B9</f>
        <v>50000</v>
      </c>
      <c r="G9" s="185">
        <f>(F9+F40)</f>
        <v>44402.4472127854</v>
      </c>
      <c r="H9" s="185">
        <f>(G9+G40)</f>
        <v>39708.2795598174</v>
      </c>
      <c r="I9" s="185">
        <f>(H9+H40)</f>
        <v>35281.5502726028</v>
      </c>
      <c r="J9" s="185">
        <f>(I9+I40)</f>
        <v>30318.8053634704</v>
      </c>
      <c r="K9" s="185">
        <f>(J9+J40)</f>
        <v>26805.5886762558</v>
      </c>
      <c r="L9" s="185">
        <f>(K9+K40)</f>
        <v>22827.9432671234</v>
      </c>
      <c r="M9" s="185">
        <f>(L9+L40)</f>
        <v>18739.5365799088</v>
      </c>
      <c r="N9" s="185">
        <f>(M9+M40)</f>
        <v>15610.4497926942</v>
      </c>
      <c r="O9" s="185">
        <f>(N9+N40)</f>
        <v>11839.8034835618</v>
      </c>
      <c r="P9" s="185">
        <f>(O9+O40)</f>
        <v>7269.4845963472</v>
      </c>
      <c r="Q9" s="185">
        <f>(P9+P40)</f>
        <v>4623.4386872148</v>
      </c>
      <c r="R9" s="186"/>
      <c r="S9" s="186"/>
    </row>
    <row r="10" ht="14.75" customHeight="1">
      <c r="A10" s="153"/>
      <c r="B10" s="159"/>
      <c r="C10" s="144"/>
      <c r="D10" s="144"/>
      <c r="E10" s="144"/>
      <c r="F10" s="145"/>
      <c r="G10" s="145"/>
      <c r="H10" s="145"/>
      <c r="I10" s="145"/>
      <c r="J10" s="145"/>
      <c r="K10" s="145"/>
      <c r="L10" s="145"/>
      <c r="M10" s="145"/>
      <c r="N10" s="145"/>
      <c r="O10" s="145"/>
      <c r="P10" s="145"/>
      <c r="Q10" s="145"/>
      <c r="R10" s="145"/>
      <c r="S10" s="145"/>
    </row>
    <row r="11" ht="14.75" customHeight="1">
      <c r="A11" t="s" s="160">
        <v>234</v>
      </c>
      <c r="B11" s="159">
        <f>(B5*B12)</f>
        <v>346500</v>
      </c>
      <c r="C11" s="144"/>
      <c r="D11" s="144"/>
      <c r="E11" s="144"/>
      <c r="F11" s="161">
        <f>($B$11*F13)</f>
        <v>23769.9</v>
      </c>
      <c r="G11" s="161">
        <f>($B$11*G13)</f>
        <v>23908.5</v>
      </c>
      <c r="H11" s="161">
        <f>($B$11*H13)</f>
        <v>26022.15</v>
      </c>
      <c r="I11" s="161">
        <f>($B$11*I13)</f>
        <v>22834.35</v>
      </c>
      <c r="J11" s="161">
        <f>($B$11*J13)</f>
        <v>31358.25</v>
      </c>
      <c r="K11" s="161">
        <f>($B$11*K13)</f>
        <v>26472.6</v>
      </c>
      <c r="L11" s="161">
        <f>($B$11*L13)</f>
        <v>27893.25</v>
      </c>
      <c r="M11" s="161">
        <f>($B$11*M13)</f>
        <v>28620.9</v>
      </c>
      <c r="N11" s="161">
        <f>($B$11*N13)</f>
        <v>26091.45</v>
      </c>
      <c r="O11" s="161">
        <f>($B$11*O13)</f>
        <v>26576.55</v>
      </c>
      <c r="P11" s="161">
        <f>($B$11*P13)</f>
        <v>30110.85</v>
      </c>
      <c r="Q11" s="161">
        <f>($B$11*Q13)</f>
        <v>52806.6</v>
      </c>
      <c r="R11" s="161">
        <f>SUM(F11:Q11)</f>
        <v>346465.35</v>
      </c>
      <c r="S11" s="161"/>
    </row>
    <row r="12" ht="14.75" customHeight="1">
      <c r="A12" t="s" s="149">
        <v>206</v>
      </c>
      <c r="B12" s="162">
        <f>'Assumptions'!C39</f>
        <v>275</v>
      </c>
      <c r="C12" s="144"/>
      <c r="D12" s="144"/>
      <c r="E12" s="144"/>
      <c r="F12" s="145"/>
      <c r="G12" s="145"/>
      <c r="H12" s="145"/>
      <c r="I12" s="145"/>
      <c r="J12" s="145"/>
      <c r="K12" s="145"/>
      <c r="L12" s="145"/>
      <c r="M12" s="145"/>
      <c r="N12" s="145"/>
      <c r="O12" s="145"/>
      <c r="P12" s="145"/>
      <c r="Q12" s="145"/>
      <c r="R12" t="s" s="146">
        <v>2</v>
      </c>
      <c r="S12" s="145"/>
    </row>
    <row r="13" ht="14.75" customHeight="1">
      <c r="A13" t="s" s="148">
        <v>207</v>
      </c>
      <c r="B13" s="159"/>
      <c r="C13" s="144"/>
      <c r="D13" s="163">
        <f>SUM(E13:Q13)</f>
        <v>0.9999</v>
      </c>
      <c r="E13" s="164"/>
      <c r="F13" s="165">
        <v>0.06859999999999999</v>
      </c>
      <c r="G13" s="165">
        <v>0.06900000000000001</v>
      </c>
      <c r="H13" s="165">
        <v>0.0751</v>
      </c>
      <c r="I13" s="165">
        <v>0.0659</v>
      </c>
      <c r="J13" s="165">
        <v>0.0905</v>
      </c>
      <c r="K13" s="165">
        <v>0.0764</v>
      </c>
      <c r="L13" s="165">
        <v>0.0805</v>
      </c>
      <c r="M13" s="165">
        <v>0.08260000000000001</v>
      </c>
      <c r="N13" s="165">
        <v>0.07530000000000001</v>
      </c>
      <c r="O13" s="165">
        <v>0.0767</v>
      </c>
      <c r="P13" s="165">
        <v>0.08690000000000001</v>
      </c>
      <c r="Q13" s="165">
        <v>0.1524</v>
      </c>
      <c r="R13" s="166">
        <f>SUM(F13:Q13)</f>
        <v>0.9999</v>
      </c>
      <c r="S13" s="166"/>
    </row>
    <row r="14" ht="14.75" customHeight="1">
      <c r="A14" s="153"/>
      <c r="B14" s="159"/>
      <c r="C14" s="144"/>
      <c r="D14" s="144"/>
      <c r="E14" s="144"/>
      <c r="F14" s="145"/>
      <c r="G14" s="145"/>
      <c r="H14" s="145"/>
      <c r="I14" s="145"/>
      <c r="J14" s="145"/>
      <c r="K14" s="145"/>
      <c r="L14" s="145"/>
      <c r="M14" s="145"/>
      <c r="N14" s="145"/>
      <c r="O14" s="145"/>
      <c r="P14" s="145"/>
      <c r="Q14" s="145"/>
      <c r="R14" t="s" s="146">
        <v>2</v>
      </c>
      <c r="S14" s="145"/>
    </row>
    <row r="15" ht="14.75" customHeight="1">
      <c r="A15" t="s" s="160">
        <v>235</v>
      </c>
      <c r="B15" s="159">
        <f>(B9+B11)</f>
        <v>396500</v>
      </c>
      <c r="C15" s="144"/>
      <c r="D15" s="144"/>
      <c r="E15" s="144"/>
      <c r="F15" s="161">
        <f>(F9+F11)</f>
        <v>73769.899999999994</v>
      </c>
      <c r="G15" s="161">
        <f>(G9+G11)</f>
        <v>68310.9472127854</v>
      </c>
      <c r="H15" s="161">
        <f>(H9+H11)</f>
        <v>65730.429559817407</v>
      </c>
      <c r="I15" s="161">
        <f>(I9+I11)</f>
        <v>58115.9002726028</v>
      </c>
      <c r="J15" s="161">
        <f>(J9+J11)</f>
        <v>61677.0553634704</v>
      </c>
      <c r="K15" s="161">
        <f>(K9+K11)</f>
        <v>53278.1886762558</v>
      </c>
      <c r="L15" s="161">
        <f>(L9+L11)</f>
        <v>50721.1932671234</v>
      </c>
      <c r="M15" s="161">
        <f>(M9+M11)</f>
        <v>47360.4365799088</v>
      </c>
      <c r="N15" s="161">
        <f>(N9+N11)</f>
        <v>41701.8997926942</v>
      </c>
      <c r="O15" s="161">
        <f>(O9+O11)</f>
        <v>38416.3534835618</v>
      </c>
      <c r="P15" s="161">
        <f>(P9+P11)</f>
        <v>37380.3345963472</v>
      </c>
      <c r="Q15" s="161">
        <f>(Q9+Q11)</f>
        <v>57430.0386872148</v>
      </c>
      <c r="R15" s="161">
        <f>SUM(F15:Q15)</f>
        <v>653892.677491782</v>
      </c>
      <c r="S15" t="s" s="146">
        <v>2</v>
      </c>
    </row>
    <row r="16" ht="14.75" customHeight="1">
      <c r="A16" s="153"/>
      <c r="B16" s="159"/>
      <c r="C16" s="144"/>
      <c r="D16" s="144"/>
      <c r="E16" s="144"/>
      <c r="F16" s="145"/>
      <c r="G16" s="145"/>
      <c r="H16" s="145"/>
      <c r="I16" s="145"/>
      <c r="J16" s="145"/>
      <c r="K16" s="145"/>
      <c r="L16" s="145"/>
      <c r="M16" s="145"/>
      <c r="N16" s="145"/>
      <c r="O16" s="145"/>
      <c r="P16" s="145"/>
      <c r="Q16" s="145"/>
      <c r="R16" t="s" s="146">
        <v>2</v>
      </c>
      <c r="S16" s="145"/>
    </row>
    <row r="17" ht="14.75" customHeight="1">
      <c r="A17" t="s" s="160">
        <v>236</v>
      </c>
      <c r="B17" s="159"/>
      <c r="C17" s="144"/>
      <c r="D17" s="164"/>
      <c r="E17" s="144"/>
      <c r="F17" s="161"/>
      <c r="G17" s="161"/>
      <c r="H17" s="161"/>
      <c r="I17" s="161"/>
      <c r="J17" s="161"/>
      <c r="K17" s="161"/>
      <c r="L17" s="161"/>
      <c r="M17" s="161"/>
      <c r="N17" s="161"/>
      <c r="O17" s="161"/>
      <c r="P17" s="161"/>
      <c r="Q17" s="161"/>
      <c r="R17" t="s" s="146">
        <v>2</v>
      </c>
      <c r="S17" s="145"/>
    </row>
    <row r="18" ht="14.75" customHeight="1">
      <c r="A18" t="s" s="160">
        <v>237</v>
      </c>
      <c r="B18" s="159">
        <f>($D$18*B11)</f>
        <v>200970</v>
      </c>
      <c r="C18" s="144"/>
      <c r="D18" s="164">
        <f>'Assumptions'!C47</f>
        <v>0.58</v>
      </c>
      <c r="E18" t="s" s="167">
        <v>167</v>
      </c>
      <c r="F18" s="161">
        <f>(F11*$D$18)</f>
        <v>13786.542</v>
      </c>
      <c r="G18" s="161">
        <f>(G11*$D$18)</f>
        <v>13866.93</v>
      </c>
      <c r="H18" s="161">
        <f>(H11*$D$18)</f>
        <v>15092.847</v>
      </c>
      <c r="I18" s="161">
        <f>(I11*$D$18)</f>
        <v>13243.923</v>
      </c>
      <c r="J18" s="161">
        <f>(J11*$D$18)</f>
        <v>18187.785</v>
      </c>
      <c r="K18" s="161">
        <f>(K11*$D$18)</f>
        <v>15354.108</v>
      </c>
      <c r="L18" s="161">
        <f>(L11*$D$18)</f>
        <v>16178.085</v>
      </c>
      <c r="M18" s="161">
        <f>(M11*$D$18)</f>
        <v>16600.122</v>
      </c>
      <c r="N18" s="161">
        <f>(N11*$D$18)</f>
        <v>15133.041</v>
      </c>
      <c r="O18" s="161">
        <f>(O11*$D$18)</f>
        <v>15414.399</v>
      </c>
      <c r="P18" s="161">
        <f>(P11*$D$18)</f>
        <v>17464.293</v>
      </c>
      <c r="Q18" s="161">
        <f>(Q11*$D$18)</f>
        <v>30627.828</v>
      </c>
      <c r="R18" s="161">
        <f>SUM(F18:Q18)</f>
        <v>200949.903</v>
      </c>
      <c r="S18" s="165">
        <f>(R18/$R$11)</f>
        <v>0.58</v>
      </c>
    </row>
    <row r="19" ht="14.75" customHeight="1">
      <c r="A19" s="153"/>
      <c r="B19" s="159"/>
      <c r="C19" s="144"/>
      <c r="D19" t="s" s="168">
        <v>2</v>
      </c>
      <c r="E19" s="144"/>
      <c r="F19" s="145"/>
      <c r="G19" s="145"/>
      <c r="H19" s="145"/>
      <c r="I19" s="145"/>
      <c r="J19" s="145"/>
      <c r="K19" s="145"/>
      <c r="L19" s="145"/>
      <c r="M19" s="145"/>
      <c r="N19" s="145"/>
      <c r="O19" s="145"/>
      <c r="P19" s="145"/>
      <c r="Q19" s="145"/>
      <c r="R19" t="s" s="146">
        <v>2</v>
      </c>
      <c r="S19" t="s" s="146">
        <v>2</v>
      </c>
    </row>
    <row r="20" ht="14.75" customHeight="1">
      <c r="A20" t="s" s="187">
        <v>238</v>
      </c>
      <c r="B20" s="159"/>
      <c r="C20" s="144"/>
      <c r="D20" s="144"/>
      <c r="E20" s="144"/>
      <c r="F20" t="s" s="146">
        <v>2</v>
      </c>
      <c r="G20" t="s" s="146">
        <v>2</v>
      </c>
      <c r="H20" t="s" s="146">
        <v>2</v>
      </c>
      <c r="I20" t="s" s="146">
        <v>2</v>
      </c>
      <c r="J20" t="s" s="146">
        <v>2</v>
      </c>
      <c r="K20" t="s" s="146">
        <v>2</v>
      </c>
      <c r="L20" t="s" s="146">
        <v>2</v>
      </c>
      <c r="M20" t="s" s="146">
        <v>2</v>
      </c>
      <c r="N20" t="s" s="146">
        <v>2</v>
      </c>
      <c r="O20" t="s" s="146">
        <v>2</v>
      </c>
      <c r="P20" t="s" s="146">
        <v>2</v>
      </c>
      <c r="Q20" t="s" s="146">
        <v>2</v>
      </c>
      <c r="R20" t="s" s="146">
        <v>2</v>
      </c>
      <c r="S20" t="s" s="146">
        <v>2</v>
      </c>
    </row>
    <row r="21" ht="14.75" customHeight="1">
      <c r="A21" t="s" s="160">
        <v>210</v>
      </c>
      <c r="B21" s="159">
        <f>'Assumptions'!B13</f>
        <v>103740</v>
      </c>
      <c r="C21" s="144"/>
      <c r="D21" s="164">
        <f>'Industry Averages (High Profit)'!C23</f>
        <v>0.186</v>
      </c>
      <c r="E21" s="144"/>
      <c r="F21" s="161">
        <f>'Proforma P&amp;L Year 1'!F17</f>
        <v>8810.794520547950</v>
      </c>
      <c r="G21" s="161">
        <f>'Proforma P&amp;L Year 1'!G17</f>
        <v>7958.136986301370</v>
      </c>
      <c r="H21" s="161">
        <f>'Proforma P&amp;L Year 1'!H17</f>
        <v>8810.794520547950</v>
      </c>
      <c r="I21" s="161">
        <f>'Proforma P&amp;L Year 1'!I17</f>
        <v>8526.575342465751</v>
      </c>
      <c r="J21" s="161">
        <f>'Proforma P&amp;L Year 1'!J17</f>
        <v>8810.794520547950</v>
      </c>
      <c r="K21" s="161">
        <f>'Proforma P&amp;L Year 1'!K17</f>
        <v>8526.575342465751</v>
      </c>
      <c r="L21" s="161">
        <f>'Proforma P&amp;L Year 1'!L17</f>
        <v>8810.794520547950</v>
      </c>
      <c r="M21" s="161">
        <f>'Proforma P&amp;L Year 1'!M17</f>
        <v>8810.794520547950</v>
      </c>
      <c r="N21" s="161">
        <f>'Proforma P&amp;L Year 1'!N17</f>
        <v>8526.575342465751</v>
      </c>
      <c r="O21" s="161">
        <f>'Proforma P&amp;L Year 1'!O17</f>
        <v>8810.794520547950</v>
      </c>
      <c r="P21" s="161">
        <f>'Proforma P&amp;L Year 1'!P17</f>
        <v>8526.575342465751</v>
      </c>
      <c r="Q21" s="161">
        <f>'Proforma P&amp;L Year 1'!Q17</f>
        <v>8810.794520547950</v>
      </c>
      <c r="R21" s="161">
        <f>SUM(F21:Q21)</f>
        <v>103740</v>
      </c>
      <c r="S21" s="165">
        <f>(R21/$R$11)</f>
        <v>0.299423881782118</v>
      </c>
    </row>
    <row r="22" ht="14.75" customHeight="1">
      <c r="A22" t="s" s="160">
        <v>87</v>
      </c>
      <c r="B22" s="159">
        <f>'Assumptions'!B26</f>
        <v>35000</v>
      </c>
      <c r="C22" s="144"/>
      <c r="D22" s="164">
        <f>'Industry Averages (High Profit)'!C25</f>
        <v>0.07000000000000001</v>
      </c>
      <c r="E22" t="s" s="167">
        <v>167</v>
      </c>
      <c r="F22" s="161">
        <f>($B$22/12)</f>
        <v>2916.666666666670</v>
      </c>
      <c r="G22" s="161">
        <f>($B$22/12)</f>
        <v>2916.666666666670</v>
      </c>
      <c r="H22" s="161">
        <f>($B$22/12)</f>
        <v>2916.666666666670</v>
      </c>
      <c r="I22" s="161">
        <f>($B$22/12)</f>
        <v>2916.666666666670</v>
      </c>
      <c r="J22" s="161">
        <f>($B$22/12)</f>
        <v>2916.666666666670</v>
      </c>
      <c r="K22" s="161">
        <f>($B$22/12)</f>
        <v>2916.666666666670</v>
      </c>
      <c r="L22" s="161">
        <f>($B$22/12)</f>
        <v>2916.666666666670</v>
      </c>
      <c r="M22" s="161">
        <f>($B$22/12)</f>
        <v>2916.666666666670</v>
      </c>
      <c r="N22" s="161">
        <f>($B$22/12)</f>
        <v>2916.666666666670</v>
      </c>
      <c r="O22" s="161">
        <f>($B$22/12)</f>
        <v>2916.666666666670</v>
      </c>
      <c r="P22" s="161">
        <f>($B$22/12)</f>
        <v>2916.666666666670</v>
      </c>
      <c r="Q22" s="161">
        <f>($B$22/12)</f>
        <v>2916.666666666670</v>
      </c>
      <c r="R22" s="161">
        <f>SUM(F22:Q22)</f>
        <v>35000</v>
      </c>
      <c r="S22" s="165">
        <f>(R22/$R$11)</f>
        <v>0.101020203030404</v>
      </c>
    </row>
    <row r="23" ht="14.75" customHeight="1">
      <c r="A23" t="s" s="160">
        <v>211</v>
      </c>
      <c r="B23" s="159">
        <f>(B11*D23)</f>
        <v>6237</v>
      </c>
      <c r="C23" s="144"/>
      <c r="D23" s="164">
        <f>'Industry Averages (High Profit)'!C26+'Industry Averages (High Profit)'!C27+'Industry Averages (High Profit)'!C28</f>
        <v>0.018</v>
      </c>
      <c r="E23" s="144"/>
      <c r="F23" s="161">
        <f>($B$23/12)</f>
        <v>519.75</v>
      </c>
      <c r="G23" s="161">
        <f>($B$23/12)</f>
        <v>519.75</v>
      </c>
      <c r="H23" s="161">
        <f>($B$23/12)</f>
        <v>519.75</v>
      </c>
      <c r="I23" s="161">
        <f>($B$23/12)</f>
        <v>519.75</v>
      </c>
      <c r="J23" s="161">
        <f>($B$23/12)</f>
        <v>519.75</v>
      </c>
      <c r="K23" s="161">
        <f>($B$23/12)</f>
        <v>519.75</v>
      </c>
      <c r="L23" s="161">
        <f>($B$23/12)</f>
        <v>519.75</v>
      </c>
      <c r="M23" s="161">
        <f>($B$23/12)</f>
        <v>519.75</v>
      </c>
      <c r="N23" s="161">
        <f>($B$23/12)</f>
        <v>519.75</v>
      </c>
      <c r="O23" s="161">
        <f>($B$23/12)</f>
        <v>519.75</v>
      </c>
      <c r="P23" s="161">
        <f>($B$23/12)</f>
        <v>519.75</v>
      </c>
      <c r="Q23" s="161">
        <f>($B$23/12)</f>
        <v>519.75</v>
      </c>
      <c r="R23" s="161">
        <f>SUM(F23:Q23)</f>
        <v>6237</v>
      </c>
      <c r="S23" s="165">
        <f>(R23/$R$11)</f>
        <v>0.018001800180018</v>
      </c>
    </row>
    <row r="24" ht="14.75" customHeight="1">
      <c r="A24" t="s" s="160">
        <v>212</v>
      </c>
      <c r="B24" s="159">
        <f>($B$11*$D24)</f>
        <v>10395</v>
      </c>
      <c r="C24" s="144"/>
      <c r="D24" s="164">
        <f>'Assumptions'!C52</f>
        <v>0.03</v>
      </c>
      <c r="E24" t="s" s="167">
        <v>167</v>
      </c>
      <c r="F24" s="161">
        <f>(F11*$D$24)</f>
        <v>713.097</v>
      </c>
      <c r="G24" s="161">
        <f>(G11*$D$24)</f>
        <v>717.255</v>
      </c>
      <c r="H24" s="161">
        <f>(H11*$D$24)</f>
        <v>780.6645</v>
      </c>
      <c r="I24" s="161">
        <f>(I11*$D$24)</f>
        <v>685.0305</v>
      </c>
      <c r="J24" s="161">
        <f>(J11*$D$24)</f>
        <v>940.7474999999999</v>
      </c>
      <c r="K24" s="161">
        <f>(K11*$D$24)</f>
        <v>794.178</v>
      </c>
      <c r="L24" s="161">
        <f>(L11*$D$24)</f>
        <v>836.7975</v>
      </c>
      <c r="M24" s="161">
        <f>(M11*$D$24)</f>
        <v>858.627</v>
      </c>
      <c r="N24" s="161">
        <f>(N11*$D$24)</f>
        <v>782.7435</v>
      </c>
      <c r="O24" s="161">
        <f>(O11*$D$24)</f>
        <v>797.2965</v>
      </c>
      <c r="P24" s="161">
        <f>(P11*$D$24)</f>
        <v>903.3255</v>
      </c>
      <c r="Q24" s="161">
        <f>(Q11*$D$24)</f>
        <v>1584.198</v>
      </c>
      <c r="R24" s="161">
        <f>SUM(F24:Q24)</f>
        <v>10393.9605</v>
      </c>
      <c r="S24" s="165">
        <f>(R24/$R$11)</f>
        <v>0.03</v>
      </c>
    </row>
    <row r="25" ht="14.75" customHeight="1">
      <c r="A25" t="s" s="160">
        <v>96</v>
      </c>
      <c r="B25" s="159">
        <f>($B$11*$D25)</f>
        <v>2079</v>
      </c>
      <c r="C25" s="144"/>
      <c r="D25" s="164">
        <f>'Industry Averages (High Profit)'!C33</f>
        <v>0.006</v>
      </c>
      <c r="E25" s="144"/>
      <c r="F25" s="161">
        <f>($B$25/12)</f>
        <v>173.25</v>
      </c>
      <c r="G25" s="161">
        <f>($B$25/12)</f>
        <v>173.25</v>
      </c>
      <c r="H25" s="161">
        <f>($B$25/12)</f>
        <v>173.25</v>
      </c>
      <c r="I25" s="161">
        <f>($B$25/12)</f>
        <v>173.25</v>
      </c>
      <c r="J25" s="161">
        <f>($B$25/12)</f>
        <v>173.25</v>
      </c>
      <c r="K25" s="161">
        <f>($B$25/12)</f>
        <v>173.25</v>
      </c>
      <c r="L25" s="161">
        <f>($B$25/12)</f>
        <v>173.25</v>
      </c>
      <c r="M25" s="161">
        <f>($B$25/12)</f>
        <v>173.25</v>
      </c>
      <c r="N25" s="161">
        <f>($B$25/12)</f>
        <v>173.25</v>
      </c>
      <c r="O25" s="161">
        <f>($B$25/12)</f>
        <v>173.25</v>
      </c>
      <c r="P25" s="161">
        <f>($B$25/12)</f>
        <v>173.25</v>
      </c>
      <c r="Q25" s="161">
        <f>($B$25/12)</f>
        <v>173.25</v>
      </c>
      <c r="R25" s="161">
        <f>SUM(F25:Q25)</f>
        <v>2079</v>
      </c>
      <c r="S25" s="165">
        <f>(R25/$R$11)</f>
        <v>0.006000600060006</v>
      </c>
    </row>
    <row r="26" ht="14.75" customHeight="1">
      <c r="A26" t="s" s="160">
        <v>164</v>
      </c>
      <c r="B26" s="159">
        <f>($B$11*$D26)</f>
        <v>2772</v>
      </c>
      <c r="C26" s="144"/>
      <c r="D26" s="164">
        <f>'Industry Averages (High Profit)'!C34</f>
        <v>0.008</v>
      </c>
      <c r="E26" s="144"/>
      <c r="F26" s="161">
        <f>($B$26/12)</f>
        <v>231</v>
      </c>
      <c r="G26" s="161">
        <f>($B$26/12)</f>
        <v>231</v>
      </c>
      <c r="H26" s="161">
        <f>($B$26/12)</f>
        <v>231</v>
      </c>
      <c r="I26" s="161">
        <f>($B$26/12)</f>
        <v>231</v>
      </c>
      <c r="J26" s="161">
        <f>($B$26/12)</f>
        <v>231</v>
      </c>
      <c r="K26" s="161">
        <f>($B$26/12)</f>
        <v>231</v>
      </c>
      <c r="L26" s="161">
        <f>($B$26/12)</f>
        <v>231</v>
      </c>
      <c r="M26" s="161">
        <f>($B$26/12)</f>
        <v>231</v>
      </c>
      <c r="N26" s="161">
        <f>($B$26/12)</f>
        <v>231</v>
      </c>
      <c r="O26" s="161">
        <f>($B$26/12)</f>
        <v>231</v>
      </c>
      <c r="P26" s="161">
        <f>($B$26/12)</f>
        <v>231</v>
      </c>
      <c r="Q26" s="161">
        <f>($B$26/12)</f>
        <v>231</v>
      </c>
      <c r="R26" s="161">
        <f>SUM(F26:Q26)</f>
        <v>2772</v>
      </c>
      <c r="S26" s="165">
        <f>(R26/$R$11)</f>
        <v>0.008000800080008001</v>
      </c>
    </row>
    <row r="27" ht="14.75" customHeight="1">
      <c r="A27" t="s" s="160">
        <v>213</v>
      </c>
      <c r="B27" s="159">
        <f>($B$11*$D27)</f>
        <v>4851</v>
      </c>
      <c r="C27" s="144"/>
      <c r="D27" s="164">
        <f>'Industry Averages (High Profit)'!C35</f>
        <v>0.014</v>
      </c>
      <c r="E27" s="144"/>
      <c r="F27" s="161">
        <f>($B$27/12)</f>
        <v>404.25</v>
      </c>
      <c r="G27" s="161">
        <f>($B$27/12)</f>
        <v>404.25</v>
      </c>
      <c r="H27" s="161">
        <f>($B$27/12)</f>
        <v>404.25</v>
      </c>
      <c r="I27" s="161">
        <f>($B$27/12)</f>
        <v>404.25</v>
      </c>
      <c r="J27" s="161">
        <f>($B$27/12)</f>
        <v>404.25</v>
      </c>
      <c r="K27" s="161">
        <f>($B$27/12)</f>
        <v>404.25</v>
      </c>
      <c r="L27" s="161">
        <f>($B$27/12)</f>
        <v>404.25</v>
      </c>
      <c r="M27" s="161">
        <f>($B$27/12)</f>
        <v>404.25</v>
      </c>
      <c r="N27" s="161">
        <f>($B$27/12)</f>
        <v>404.25</v>
      </c>
      <c r="O27" s="161">
        <f>($B$27/12)</f>
        <v>404.25</v>
      </c>
      <c r="P27" s="161">
        <f>($B$27/12)</f>
        <v>404.25</v>
      </c>
      <c r="Q27" s="161">
        <f>($B$27/12)</f>
        <v>404.25</v>
      </c>
      <c r="R27" s="161">
        <f>SUM(F27:Q27)</f>
        <v>4851</v>
      </c>
      <c r="S27" s="165">
        <f>(R27/$R$11)</f>
        <v>0.014001400140014</v>
      </c>
    </row>
    <row r="28" ht="14.75" customHeight="1">
      <c r="A28" t="s" s="160">
        <v>214</v>
      </c>
      <c r="B28" s="159">
        <f>($B$11*$D28)</f>
        <v>1386</v>
      </c>
      <c r="C28" s="144"/>
      <c r="D28" s="164">
        <f>'Industry Averages (High Profit)'!C37</f>
        <v>0.004</v>
      </c>
      <c r="E28" s="144"/>
      <c r="F28" t="s" s="146">
        <v>2</v>
      </c>
      <c r="G28" s="161">
        <f>($B$28/2)</f>
        <v>693</v>
      </c>
      <c r="H28" t="s" s="146">
        <v>2</v>
      </c>
      <c r="I28" t="s" s="146">
        <v>2</v>
      </c>
      <c r="J28" t="s" s="146">
        <v>2</v>
      </c>
      <c r="K28" t="s" s="146">
        <v>2</v>
      </c>
      <c r="L28" t="s" s="146">
        <v>2</v>
      </c>
      <c r="M28" t="s" s="146">
        <v>2</v>
      </c>
      <c r="N28" t="s" s="146">
        <v>2</v>
      </c>
      <c r="O28" s="161">
        <f>($B$28/2)</f>
        <v>693</v>
      </c>
      <c r="P28" t="s" s="146">
        <v>2</v>
      </c>
      <c r="Q28" t="s" s="146">
        <v>2</v>
      </c>
      <c r="R28" s="161">
        <f>SUM(F28:Q28)</f>
        <v>1386</v>
      </c>
      <c r="S28" s="165">
        <f>(R28/$R$11)</f>
        <v>0.004000400040004</v>
      </c>
    </row>
    <row r="29" ht="14.75" customHeight="1">
      <c r="A29" t="s" s="160">
        <v>215</v>
      </c>
      <c r="B29" s="159">
        <f>($B$11*$D29)</f>
        <v>1386</v>
      </c>
      <c r="C29" s="144"/>
      <c r="D29" s="164">
        <f>'Industry Averages (High Profit)'!C38</f>
        <v>0.004</v>
      </c>
      <c r="E29" s="144"/>
      <c r="F29" t="s" s="146">
        <v>2</v>
      </c>
      <c r="G29" t="s" s="146">
        <v>2</v>
      </c>
      <c r="H29" t="s" s="146">
        <v>2</v>
      </c>
      <c r="I29" t="s" s="146">
        <v>2</v>
      </c>
      <c r="J29" s="161">
        <f>B29</f>
        <v>1386</v>
      </c>
      <c r="K29" t="s" s="146">
        <v>2</v>
      </c>
      <c r="L29" t="s" s="146">
        <v>2</v>
      </c>
      <c r="M29" t="s" s="146">
        <v>2</v>
      </c>
      <c r="N29" t="s" s="146">
        <v>2</v>
      </c>
      <c r="O29" t="s" s="146">
        <v>2</v>
      </c>
      <c r="P29" t="s" s="146">
        <v>2</v>
      </c>
      <c r="Q29" t="s" s="146">
        <v>2</v>
      </c>
      <c r="R29" s="161">
        <f>SUM(F29:Q29)</f>
        <v>1386</v>
      </c>
      <c r="S29" s="165">
        <f>(R29/$R$11)</f>
        <v>0.004000400040004</v>
      </c>
    </row>
    <row r="30" ht="14.75" customHeight="1">
      <c r="A30" t="s" s="160">
        <v>216</v>
      </c>
      <c r="B30" s="159">
        <f>($B$11*$D30)</f>
        <v>8316</v>
      </c>
      <c r="C30" s="144"/>
      <c r="D30" s="164">
        <f>'Industry Averages (High Profit)'!C40</f>
        <v>0.024</v>
      </c>
      <c r="E30" s="144"/>
      <c r="F30" s="161">
        <f>(F11*$D$30)</f>
        <v>570.4776000000001</v>
      </c>
      <c r="G30" s="161">
        <f>(G11*$D$30)</f>
        <v>573.804</v>
      </c>
      <c r="H30" s="161">
        <f>(H11*$D$30)</f>
        <v>624.5316</v>
      </c>
      <c r="I30" s="161">
        <f>(I11*$D$30)</f>
        <v>548.0244</v>
      </c>
      <c r="J30" s="161">
        <f>(J11*$D$30)</f>
        <v>752.598</v>
      </c>
      <c r="K30" s="161">
        <f>(K11*$D$30)</f>
        <v>635.3424</v>
      </c>
      <c r="L30" s="161">
        <f>(L11*$D$30)</f>
        <v>669.438</v>
      </c>
      <c r="M30" s="161">
        <f>(M11*$D$30)</f>
        <v>686.9016</v>
      </c>
      <c r="N30" s="161">
        <f>(N11*$D$30)</f>
        <v>626.1948</v>
      </c>
      <c r="O30" s="161">
        <f>(O11*$D$30)</f>
        <v>637.8372000000001</v>
      </c>
      <c r="P30" s="161">
        <f>(P11*$D$30)</f>
        <v>722.6604</v>
      </c>
      <c r="Q30" s="161">
        <f>(Q11*$D$30)</f>
        <v>1267.3584</v>
      </c>
      <c r="R30" s="161">
        <f>SUM(F30:Q30)</f>
        <v>8315.1684</v>
      </c>
      <c r="S30" s="165">
        <f>(R30/$R$11)</f>
        <v>0.024</v>
      </c>
    </row>
    <row r="31" ht="14.75" customHeight="1">
      <c r="A31" t="s" s="160">
        <v>177</v>
      </c>
      <c r="B31" s="159">
        <f>($B$11*$D31)</f>
        <v>1386</v>
      </c>
      <c r="C31" s="144"/>
      <c r="D31" s="164">
        <f>'Industry Averages (High Profit)'!C41</f>
        <v>0.004</v>
      </c>
      <c r="E31" s="144"/>
      <c r="F31" s="161">
        <f>($B$31/2)</f>
        <v>693</v>
      </c>
      <c r="G31" t="s" s="146">
        <v>2</v>
      </c>
      <c r="H31" t="s" s="146">
        <v>2</v>
      </c>
      <c r="I31" t="s" s="146">
        <v>2</v>
      </c>
      <c r="J31" t="s" s="146">
        <v>2</v>
      </c>
      <c r="K31" t="s" s="146">
        <v>2</v>
      </c>
      <c r="L31" s="161">
        <f>($B$31/2)</f>
        <v>693</v>
      </c>
      <c r="M31" t="s" s="146">
        <v>2</v>
      </c>
      <c r="N31" t="s" s="146">
        <v>2</v>
      </c>
      <c r="O31" t="s" s="146">
        <v>2</v>
      </c>
      <c r="P31" t="s" s="146">
        <v>2</v>
      </c>
      <c r="Q31" t="s" s="146">
        <v>2</v>
      </c>
      <c r="R31" s="161">
        <f>SUM(F31:Q31)</f>
        <v>1386</v>
      </c>
      <c r="S31" s="165">
        <f>(R31/$R$11)</f>
        <v>0.004000400040004</v>
      </c>
    </row>
    <row r="32" ht="14.75" customHeight="1">
      <c r="A32" t="s" s="160">
        <v>111</v>
      </c>
      <c r="B32" s="159">
        <f>($B$11*$D32)</f>
        <v>1039.5</v>
      </c>
      <c r="C32" s="144"/>
      <c r="D32" s="164">
        <f>'Industry Averages (High Profit)'!C42</f>
        <v>0.003</v>
      </c>
      <c r="E32" s="144"/>
      <c r="F32" t="s" s="146">
        <v>2</v>
      </c>
      <c r="G32" t="s" s="146">
        <v>2</v>
      </c>
      <c r="H32" s="161">
        <f>($B$32/3)</f>
        <v>346.5</v>
      </c>
      <c r="I32" t="s" s="146">
        <v>2</v>
      </c>
      <c r="J32" t="s" s="146">
        <v>2</v>
      </c>
      <c r="K32" s="161">
        <f>($B$32/3)</f>
        <v>346.5</v>
      </c>
      <c r="L32" t="s" s="146">
        <v>2</v>
      </c>
      <c r="M32" t="s" s="146">
        <v>2</v>
      </c>
      <c r="N32" t="s" s="146">
        <v>2</v>
      </c>
      <c r="O32" t="s" s="146">
        <v>2</v>
      </c>
      <c r="P32" s="161">
        <f>($B$32/3)</f>
        <v>346.5</v>
      </c>
      <c r="Q32" t="s" s="146">
        <v>2</v>
      </c>
      <c r="R32" s="161">
        <f>SUM(F32:Q32)</f>
        <v>1039.5</v>
      </c>
      <c r="S32" s="165">
        <f>(R32/$R$11)</f>
        <v>0.003000300030003</v>
      </c>
    </row>
    <row r="33" ht="14.75" customHeight="1">
      <c r="A33" t="s" s="160">
        <v>217</v>
      </c>
      <c r="B33" s="159">
        <f>($B$11*$D33)</f>
        <v>1386</v>
      </c>
      <c r="C33" s="144"/>
      <c r="D33" s="164">
        <f>'Industry Averages (High Profit)'!C43</f>
        <v>0.004</v>
      </c>
      <c r="E33" s="144"/>
      <c r="F33" s="161"/>
      <c r="G33" s="161"/>
      <c r="H33" s="161"/>
      <c r="I33" s="161"/>
      <c r="J33" s="161"/>
      <c r="K33" s="161"/>
      <c r="L33" s="161"/>
      <c r="M33" s="161"/>
      <c r="N33" s="161"/>
      <c r="O33" s="161"/>
      <c r="P33" s="161"/>
      <c r="Q33" s="161">
        <f>B33</f>
        <v>1386</v>
      </c>
      <c r="R33" s="161">
        <f>SUM(F33:Q33)</f>
        <v>1386</v>
      </c>
      <c r="S33" s="165">
        <f>(R33/$R$11)</f>
        <v>0.004000400040004</v>
      </c>
    </row>
    <row r="34" ht="14.75" customHeight="1">
      <c r="A34" t="s" s="160">
        <v>218</v>
      </c>
      <c r="B34" s="159">
        <f>($B$11*$D34)</f>
        <v>1039.5</v>
      </c>
      <c r="C34" s="144"/>
      <c r="D34" s="164">
        <f>'Industry Averages (High Profit)'!C44</f>
        <v>0.003</v>
      </c>
      <c r="E34" s="144"/>
      <c r="F34" s="161">
        <f>($B$34/12)</f>
        <v>86.625</v>
      </c>
      <c r="G34" s="161">
        <f>($B$34/12)</f>
        <v>86.625</v>
      </c>
      <c r="H34" s="161">
        <f>($B$34/12)</f>
        <v>86.625</v>
      </c>
      <c r="I34" s="161">
        <f>($B$34/12)</f>
        <v>86.625</v>
      </c>
      <c r="J34" s="161">
        <f>($B$34/12)</f>
        <v>86.625</v>
      </c>
      <c r="K34" s="161">
        <f>($B$34/12)</f>
        <v>86.625</v>
      </c>
      <c r="L34" s="161">
        <f>($B$34/12)</f>
        <v>86.625</v>
      </c>
      <c r="M34" s="161">
        <f>($B$34/12)</f>
        <v>86.625</v>
      </c>
      <c r="N34" s="161">
        <f>($B$34/12)</f>
        <v>86.625</v>
      </c>
      <c r="O34" s="161">
        <f>($B$34/12)</f>
        <v>86.625</v>
      </c>
      <c r="P34" s="161">
        <f>($B$34/12)</f>
        <v>86.625</v>
      </c>
      <c r="Q34" s="161">
        <f>($B$34/12)</f>
        <v>86.625</v>
      </c>
      <c r="R34" s="161">
        <f>SUM(F34:Q34)</f>
        <v>1039.5</v>
      </c>
      <c r="S34" s="165">
        <f>(R34/$R$11)</f>
        <v>0.003000300030003</v>
      </c>
    </row>
    <row r="35" ht="14.75" customHeight="1">
      <c r="A35" t="s" s="160">
        <v>219</v>
      </c>
      <c r="B35" s="159">
        <f>($B$11*$D35)</f>
        <v>1386</v>
      </c>
      <c r="C35" s="144"/>
      <c r="D35" s="164">
        <f>'Industry Averages (High Profit)'!C45</f>
        <v>0.004</v>
      </c>
      <c r="E35" s="144"/>
      <c r="F35" s="161">
        <f>($B$35/12)</f>
        <v>115.5</v>
      </c>
      <c r="G35" s="161">
        <f>($B$35/12)</f>
        <v>115.5</v>
      </c>
      <c r="H35" s="161">
        <f>($B$35/12)</f>
        <v>115.5</v>
      </c>
      <c r="I35" s="161">
        <f>($B$35/12)</f>
        <v>115.5</v>
      </c>
      <c r="J35" s="161">
        <f>($B$35/12)</f>
        <v>115.5</v>
      </c>
      <c r="K35" s="161">
        <f>($B$35/12)</f>
        <v>115.5</v>
      </c>
      <c r="L35" s="161">
        <f>($B$35/12)</f>
        <v>115.5</v>
      </c>
      <c r="M35" s="161">
        <f>($B$35/12)</f>
        <v>115.5</v>
      </c>
      <c r="N35" s="161">
        <f>($B$35/12)</f>
        <v>115.5</v>
      </c>
      <c r="O35" s="161">
        <f>($B$35/12)</f>
        <v>115.5</v>
      </c>
      <c r="P35" s="161">
        <f>($B$35/12)</f>
        <v>115.5</v>
      </c>
      <c r="Q35" s="161">
        <f>($B$35/12)</f>
        <v>115.5</v>
      </c>
      <c r="R35" s="161">
        <f>SUM(F35:Q35)</f>
        <v>1386</v>
      </c>
      <c r="S35" s="165">
        <f>(R35/$R$11)</f>
        <v>0.004000400040004</v>
      </c>
    </row>
    <row r="36" ht="14.75" customHeight="1">
      <c r="A36" t="s" s="160">
        <v>220</v>
      </c>
      <c r="B36" s="159">
        <f>($B$11*$D36)</f>
        <v>4158</v>
      </c>
      <c r="C36" s="144"/>
      <c r="D36" s="164">
        <f>'Industry Averages (High Profit)'!C46</f>
        <v>0.012</v>
      </c>
      <c r="E36" s="144"/>
      <c r="F36" s="161">
        <f>($B$36/12)</f>
        <v>346.5</v>
      </c>
      <c r="G36" s="161">
        <f>($B$36/12)</f>
        <v>346.5</v>
      </c>
      <c r="H36" s="161">
        <f>($B$36/12)</f>
        <v>346.5</v>
      </c>
      <c r="I36" s="161">
        <f>($B$36/12)</f>
        <v>346.5</v>
      </c>
      <c r="J36" s="161">
        <f>($B$36/12)</f>
        <v>346.5</v>
      </c>
      <c r="K36" s="161">
        <f>($B$36/12)</f>
        <v>346.5</v>
      </c>
      <c r="L36" s="161">
        <f>($B$36/12)</f>
        <v>346.5</v>
      </c>
      <c r="M36" s="161">
        <f>($B$36/12)</f>
        <v>346.5</v>
      </c>
      <c r="N36" s="161">
        <f>($B$36/12)</f>
        <v>346.5</v>
      </c>
      <c r="O36" s="161">
        <f>($B$36/12)</f>
        <v>346.5</v>
      </c>
      <c r="P36" s="161">
        <f>($B$36/12)</f>
        <v>346.5</v>
      </c>
      <c r="Q36" s="161">
        <f>($B$36/12)</f>
        <v>346.5</v>
      </c>
      <c r="R36" s="161">
        <f>SUM(F36:Q36)</f>
        <v>4158</v>
      </c>
      <c r="S36" s="165">
        <f>(R36/$R$11)</f>
        <v>0.012001200120012</v>
      </c>
    </row>
    <row r="37" ht="9" customHeight="1">
      <c r="A37" t="s" s="169">
        <v>2</v>
      </c>
      <c r="B37" s="159"/>
      <c r="C37" s="144"/>
      <c r="D37" s="144"/>
      <c r="E37" s="144"/>
      <c r="F37" s="145"/>
      <c r="G37" s="145"/>
      <c r="H37" s="145"/>
      <c r="I37" s="145"/>
      <c r="J37" s="145"/>
      <c r="K37" s="145"/>
      <c r="L37" s="145"/>
      <c r="M37" s="145"/>
      <c r="N37" s="145"/>
      <c r="O37" s="145"/>
      <c r="P37" s="145"/>
      <c r="Q37" t="s" s="146">
        <v>2</v>
      </c>
      <c r="R37" s="161"/>
      <c r="S37" t="s" s="146">
        <v>2</v>
      </c>
    </row>
    <row r="38" ht="14.75" customHeight="1">
      <c r="A38" t="s" s="160">
        <v>221</v>
      </c>
      <c r="B38" s="159">
        <f>SUM(B18:B36)</f>
        <v>387527</v>
      </c>
      <c r="C38" s="144"/>
      <c r="D38" s="144"/>
      <c r="E38" s="144"/>
      <c r="F38" s="161">
        <f>SUM(F18:F37)</f>
        <v>29367.4527872146</v>
      </c>
      <c r="G38" s="161">
        <f>SUM(G18:G37)</f>
        <v>28602.667652968</v>
      </c>
      <c r="H38" s="161">
        <f>SUM(H18:H37)</f>
        <v>30448.8792872146</v>
      </c>
      <c r="I38" s="161">
        <f>SUM(I18:I37)</f>
        <v>27797.0949091324</v>
      </c>
      <c r="J38" s="161">
        <f>SUM(J18:J37)</f>
        <v>34871.4666872146</v>
      </c>
      <c r="K38" s="161">
        <f>SUM(K18:K37)</f>
        <v>30450.2454091324</v>
      </c>
      <c r="L38" s="161">
        <f>SUM(L18:L37)</f>
        <v>31981.6566872146</v>
      </c>
      <c r="M38" s="161">
        <f>SUM(M18:M37)</f>
        <v>31749.9867872146</v>
      </c>
      <c r="N38" s="161">
        <f>SUM(N18:N37)</f>
        <v>29862.0963091324</v>
      </c>
      <c r="O38" s="161">
        <f>SUM(O18:O37)</f>
        <v>31146.8688872146</v>
      </c>
      <c r="P38" s="161">
        <f>SUM(P18:P37)</f>
        <v>32756.8959091324</v>
      </c>
      <c r="Q38" s="161">
        <f>SUM(Q18:Q37)</f>
        <v>48469.7205872146</v>
      </c>
      <c r="R38" s="161">
        <f>SUM(R18:R37)</f>
        <v>387505.0319</v>
      </c>
      <c r="S38" s="165">
        <f>(R38/$R$11)</f>
        <v>1.11845248565261</v>
      </c>
    </row>
    <row r="39" ht="14.75" customHeight="1">
      <c r="A39" s="153"/>
      <c r="B39" s="159"/>
      <c r="C39" s="144"/>
      <c r="D39" s="144"/>
      <c r="E39" s="144"/>
      <c r="F39" s="145"/>
      <c r="G39" s="145"/>
      <c r="H39" s="145"/>
      <c r="I39" s="145"/>
      <c r="J39" s="145"/>
      <c r="K39" s="145"/>
      <c r="L39" s="145"/>
      <c r="M39" s="145"/>
      <c r="N39" s="145"/>
      <c r="O39" s="145"/>
      <c r="P39" s="145"/>
      <c r="Q39" s="145"/>
      <c r="R39" s="145"/>
      <c r="S39" s="145"/>
    </row>
    <row r="40" ht="14.75" customHeight="1">
      <c r="A40" t="s" s="170">
        <v>239</v>
      </c>
      <c r="B40" s="162">
        <f>(B15-B38)</f>
        <v>8973</v>
      </c>
      <c r="C40" s="171"/>
      <c r="D40" s="171"/>
      <c r="E40" s="171"/>
      <c r="F40" s="173">
        <f>(F11-F38)</f>
        <v>-5597.5527872146</v>
      </c>
      <c r="G40" s="173">
        <f>(G11-G38)</f>
        <v>-4694.167652968</v>
      </c>
      <c r="H40" s="173">
        <f>(H11-H38)</f>
        <v>-4426.7292872146</v>
      </c>
      <c r="I40" s="173">
        <f>(I11-I38)</f>
        <v>-4962.7449091324</v>
      </c>
      <c r="J40" s="173">
        <f>(J11-J38)</f>
        <v>-3513.2166872146</v>
      </c>
      <c r="K40" s="173">
        <f>(K11-K38)</f>
        <v>-3977.6454091324</v>
      </c>
      <c r="L40" s="173">
        <f>(L11-L38)</f>
        <v>-4088.4066872146</v>
      </c>
      <c r="M40" s="173">
        <f>(M11-M38)</f>
        <v>-3129.0867872146</v>
      </c>
      <c r="N40" s="173">
        <f>(N11-N38)</f>
        <v>-3770.6463091324</v>
      </c>
      <c r="O40" s="173">
        <f>(O11-O38)</f>
        <v>-4570.3188872146</v>
      </c>
      <c r="P40" s="173">
        <f>(P11-P38)</f>
        <v>-2646.0459091324</v>
      </c>
      <c r="Q40" s="173">
        <f>(Q11-Q38)</f>
        <v>4336.8794127854</v>
      </c>
      <c r="R40" s="173">
        <f>SUM(F40:Q40)</f>
        <v>-41039.6818999998</v>
      </c>
      <c r="S40" s="174">
        <f>R40/R11</f>
        <v>-0.118452485652605</v>
      </c>
    </row>
    <row r="41" ht="14.75" customHeight="1">
      <c r="A41" t="s" s="160">
        <v>222</v>
      </c>
      <c r="B41" s="159"/>
      <c r="C41" s="144"/>
      <c r="D41" s="144"/>
      <c r="E41" s="144"/>
      <c r="F41" s="161">
        <f>'Funding'!B15</f>
        <v>0</v>
      </c>
      <c r="G41" s="161">
        <f>$F$41</f>
        <v>0</v>
      </c>
      <c r="H41" s="161">
        <f>$F$41</f>
        <v>0</v>
      </c>
      <c r="I41" s="161">
        <f>$F$41</f>
        <v>0</v>
      </c>
      <c r="J41" s="161">
        <f>$F$41</f>
        <v>0</v>
      </c>
      <c r="K41" s="161">
        <f>$F$41</f>
        <v>0</v>
      </c>
      <c r="L41" s="161">
        <f>$F$41</f>
        <v>0</v>
      </c>
      <c r="M41" s="161">
        <f>$F$41</f>
        <v>0</v>
      </c>
      <c r="N41" s="161">
        <f>$F$41</f>
        <v>0</v>
      </c>
      <c r="O41" s="161">
        <f>$F$41</f>
        <v>0</v>
      </c>
      <c r="P41" s="161">
        <f>$F$41</f>
        <v>0</v>
      </c>
      <c r="Q41" s="161">
        <f>$F$41</f>
        <v>0</v>
      </c>
      <c r="R41" s="145"/>
      <c r="S41" s="145"/>
    </row>
    <row r="42" ht="14.75" customHeight="1">
      <c r="A42" t="s" s="160">
        <v>240</v>
      </c>
      <c r="B42" s="159"/>
      <c r="C42" s="144"/>
      <c r="D42" s="144"/>
      <c r="E42" s="144"/>
      <c r="F42" s="173">
        <f>(F40-F41)</f>
        <v>-5597.5527872146</v>
      </c>
      <c r="G42" s="173">
        <f>(G40-G41)</f>
        <v>-4694.167652968</v>
      </c>
      <c r="H42" s="173">
        <f>(H40-H41)</f>
        <v>-4426.7292872146</v>
      </c>
      <c r="I42" s="173">
        <f>(I40-I41)</f>
        <v>-4962.7449091324</v>
      </c>
      <c r="J42" s="173">
        <f>(J40-J41)</f>
        <v>-3513.2166872146</v>
      </c>
      <c r="K42" s="173">
        <f>(K40-K41)</f>
        <v>-3977.6454091324</v>
      </c>
      <c r="L42" s="173">
        <f>(L40-L41)</f>
        <v>-4088.4066872146</v>
      </c>
      <c r="M42" s="173">
        <f>(M40-M41)</f>
        <v>-3129.0867872146</v>
      </c>
      <c r="N42" s="173">
        <f>(N40-N41)</f>
        <v>-3770.6463091324</v>
      </c>
      <c r="O42" s="173">
        <f>(O40-O41)</f>
        <v>-4570.3188872146</v>
      </c>
      <c r="P42" s="173">
        <f>(P40-P41)</f>
        <v>-2646.0459091324</v>
      </c>
      <c r="Q42" s="173">
        <f>(Q40-Q41)</f>
        <v>4336.8794127854</v>
      </c>
      <c r="R42" s="145"/>
      <c r="S42" s="145"/>
    </row>
    <row r="43" ht="14.75" customHeight="1">
      <c r="A43" t="s" s="148">
        <v>241</v>
      </c>
      <c r="B43" s="159"/>
      <c r="C43" s="144"/>
      <c r="D43" s="144"/>
      <c r="E43" s="144"/>
      <c r="F43" s="145"/>
      <c r="G43" s="145"/>
      <c r="H43" s="145"/>
      <c r="I43" s="145"/>
      <c r="J43" s="145"/>
      <c r="K43" s="145"/>
      <c r="L43" s="145"/>
      <c r="M43" s="145"/>
      <c r="N43" s="145"/>
      <c r="O43" s="145"/>
      <c r="P43" s="145"/>
      <c r="Q43" s="188">
        <f>(B9+R40)</f>
        <v>8960.318100000201</v>
      </c>
      <c r="R43" s="145"/>
      <c r="S43" s="145"/>
    </row>
    <row r="44" ht="14.75" customHeight="1">
      <c r="A44" s="153"/>
      <c r="B44" s="159"/>
      <c r="C44" s="144"/>
      <c r="D44" s="144"/>
      <c r="E44" s="144"/>
      <c r="F44" s="145"/>
      <c r="G44" s="145"/>
      <c r="H44" s="145"/>
      <c r="I44" s="145"/>
      <c r="J44" s="145"/>
      <c r="K44" s="145"/>
      <c r="L44" s="145"/>
      <c r="M44" s="145"/>
      <c r="N44" s="145"/>
      <c r="O44" s="145"/>
      <c r="P44" s="145"/>
      <c r="Q44" s="145"/>
      <c r="R44" s="145"/>
      <c r="S44" s="145"/>
    </row>
    <row r="45" ht="14.75" customHeight="1">
      <c r="A45" t="s" s="160">
        <v>224</v>
      </c>
      <c r="B45" s="159"/>
      <c r="C45" s="144"/>
      <c r="D45" t="s" s="167">
        <v>2</v>
      </c>
      <c r="E45" s="144"/>
      <c r="F45" s="145"/>
      <c r="G45" s="145"/>
      <c r="H45" s="145"/>
      <c r="I45" s="145"/>
      <c r="J45" s="145"/>
      <c r="K45" s="145"/>
      <c r="L45" s="145"/>
      <c r="M45" s="145"/>
      <c r="N45" s="145"/>
      <c r="O45" s="145"/>
      <c r="P45" s="145"/>
      <c r="Q45" s="145"/>
      <c r="R45" s="145"/>
      <c r="S45" s="145"/>
    </row>
  </sheetData>
  <pageMargins left="0.5" right="0.5" top="0.5" bottom="0.5" header="0.25" footer="0.25"/>
  <pageSetup firstPageNumber="1" fitToHeight="1" fitToWidth="1" scale="100" useFirstPageNumber="0" orientation="landscape" pageOrder="downThenOver"/>
  <headerFooter>
    <oddFooter>&amp;C&amp;"Helvetica Neue,Regular"&amp;12&amp;K000000&amp;P</oddFooter>
  </headerFooter>
</worksheet>
</file>

<file path=xl/worksheets/sheet9.xml><?xml version="1.0" encoding="utf-8"?>
<worksheet xmlns:r="http://schemas.openxmlformats.org/officeDocument/2006/relationships" xmlns="http://schemas.openxmlformats.org/spreadsheetml/2006/main">
  <sheetPr>
    <pageSetUpPr fitToPage="1"/>
  </sheetPr>
  <dimension ref="A1:S45"/>
  <sheetViews>
    <sheetView workbookViewId="0" showGridLines="0" defaultGridColor="1"/>
  </sheetViews>
  <sheetFormatPr defaultColWidth="16.3333" defaultRowHeight="18" customHeight="1" outlineLevelRow="0" outlineLevelCol="0"/>
  <cols>
    <col min="1" max="1" width="23.3516" style="189" customWidth="1"/>
    <col min="2" max="2" width="13.1719" style="189" customWidth="1"/>
    <col min="3" max="3" width="4.35156" style="189" customWidth="1"/>
    <col min="4" max="4" width="9.85156" style="189" customWidth="1"/>
    <col min="5" max="5" width="2.17188" style="189" customWidth="1"/>
    <col min="6" max="7" width="10.5" style="189" customWidth="1"/>
    <col min="8" max="10" width="10.8516" style="189" customWidth="1"/>
    <col min="11" max="11" width="11" style="189" customWidth="1"/>
    <col min="12" max="12" width="10.8516" style="189" customWidth="1"/>
    <col min="13" max="13" width="8.67188" style="189" customWidth="1"/>
    <col min="14" max="14" width="12" style="189" customWidth="1"/>
    <col min="15" max="15" width="10.5" style="189" customWidth="1"/>
    <col min="16" max="16" width="11.8516" style="189" customWidth="1"/>
    <col min="17" max="17" width="8.67188" style="189" customWidth="1"/>
    <col min="18" max="18" width="9.85156" style="189" customWidth="1"/>
    <col min="19" max="19" width="10.5" style="189" customWidth="1"/>
    <col min="20" max="16384" width="16.3516" style="189" customWidth="1"/>
  </cols>
  <sheetData>
    <row r="1" ht="23.25" customHeight="1">
      <c r="A1" t="s" s="105">
        <v>231</v>
      </c>
      <c r="B1" s="8"/>
      <c r="C1" s="8"/>
      <c r="D1" s="8"/>
      <c r="E1" s="8"/>
      <c r="F1" s="190"/>
      <c r="G1" s="190"/>
      <c r="H1" s="190"/>
      <c r="I1" s="190"/>
      <c r="J1" s="190"/>
      <c r="K1" s="190"/>
      <c r="L1" s="190"/>
      <c r="M1" s="190"/>
      <c r="N1" s="190"/>
      <c r="O1" s="190"/>
      <c r="P1" s="190"/>
      <c r="Q1" s="190"/>
      <c r="R1" s="190"/>
      <c r="S1" s="190"/>
    </row>
    <row r="2" ht="20.5" customHeight="1">
      <c r="A2" t="s" s="191">
        <v>227</v>
      </c>
      <c r="B2" t="s" s="192">
        <v>2</v>
      </c>
      <c r="C2" s="12"/>
      <c r="D2" s="12"/>
      <c r="E2" s="12"/>
      <c r="F2" s="193"/>
      <c r="G2" s="193"/>
      <c r="H2" t="s" s="194">
        <v>2</v>
      </c>
      <c r="I2" t="s" s="195">
        <v>2</v>
      </c>
      <c r="J2" s="193"/>
      <c r="K2" s="193"/>
      <c r="L2" s="193"/>
      <c r="M2" s="193"/>
      <c r="N2" s="193"/>
      <c r="O2" s="193"/>
      <c r="P2" s="193"/>
      <c r="Q2" s="193"/>
      <c r="R2" s="193"/>
      <c r="S2" s="193"/>
    </row>
    <row r="3" ht="20.25" customHeight="1">
      <c r="A3" t="s" s="111">
        <v>2</v>
      </c>
      <c r="B3" s="20"/>
      <c r="C3" s="15"/>
      <c r="D3" s="15"/>
      <c r="E3" s="15"/>
      <c r="F3" s="196"/>
      <c r="G3" s="196"/>
      <c r="H3" s="197"/>
      <c r="I3" t="s" s="114">
        <v>2</v>
      </c>
      <c r="J3" s="196"/>
      <c r="K3" s="196"/>
      <c r="L3" s="196"/>
      <c r="M3" s="196"/>
      <c r="N3" s="196"/>
      <c r="O3" s="196"/>
      <c r="P3" s="196"/>
      <c r="Q3" s="196"/>
      <c r="R3" s="196"/>
      <c r="S3" s="196"/>
    </row>
    <row r="4" ht="20.25" customHeight="1">
      <c r="A4" t="s" s="198">
        <v>187</v>
      </c>
      <c r="B4" s="199">
        <f>'Assumptions'!B17</f>
        <v>1400</v>
      </c>
      <c r="C4" s="200"/>
      <c r="D4" s="200"/>
      <c r="E4" s="18"/>
      <c r="F4" s="201"/>
      <c r="G4" s="201"/>
      <c r="H4" s="18"/>
      <c r="I4" s="18"/>
      <c r="J4" s="201"/>
      <c r="K4" s="201"/>
      <c r="L4" s="201"/>
      <c r="M4" s="201"/>
      <c r="N4" s="201"/>
      <c r="O4" s="201"/>
      <c r="P4" s="201"/>
      <c r="Q4" s="201"/>
      <c r="R4" s="201"/>
      <c r="S4" s="201"/>
    </row>
    <row r="5" ht="20.25" customHeight="1">
      <c r="A5" t="s" s="198">
        <v>188</v>
      </c>
      <c r="B5" s="202">
        <f>'Assumptions'!B20</f>
        <v>1260</v>
      </c>
      <c r="C5" s="203"/>
      <c r="D5" s="204">
        <v>1</v>
      </c>
      <c r="E5" s="15"/>
      <c r="F5" s="196"/>
      <c r="G5" s="196"/>
      <c r="H5" s="196"/>
      <c r="I5" s="196"/>
      <c r="J5" s="196"/>
      <c r="K5" s="196"/>
      <c r="L5" s="196"/>
      <c r="M5" s="196"/>
      <c r="N5" s="196"/>
      <c r="O5" s="196"/>
      <c r="P5" s="196"/>
      <c r="Q5" s="196"/>
      <c r="R5" s="196"/>
      <c r="S5" s="196"/>
    </row>
    <row r="6" ht="20.25" customHeight="1">
      <c r="A6" s="17"/>
      <c r="B6" s="115"/>
      <c r="C6" s="18"/>
      <c r="D6" s="18"/>
      <c r="E6" s="18"/>
      <c r="F6" s="201"/>
      <c r="G6" s="201"/>
      <c r="H6" s="201"/>
      <c r="I6" s="201"/>
      <c r="J6" s="201"/>
      <c r="K6" s="201"/>
      <c r="L6" s="201"/>
      <c r="M6" s="201"/>
      <c r="N6" s="201"/>
      <c r="O6" s="201"/>
      <c r="P6" s="201"/>
      <c r="Q6" s="201"/>
      <c r="R6" s="201"/>
      <c r="S6" s="18"/>
    </row>
    <row r="7" ht="20.25" customHeight="1">
      <c r="A7" t="s" s="205">
        <v>2</v>
      </c>
      <c r="B7" t="s" s="206">
        <v>2</v>
      </c>
      <c r="C7" s="15"/>
      <c r="D7" t="s" s="207">
        <v>189</v>
      </c>
      <c r="E7" s="15"/>
      <c r="F7" t="s" s="62">
        <v>190</v>
      </c>
      <c r="G7" t="s" s="62">
        <v>191</v>
      </c>
      <c r="H7" t="s" s="62">
        <v>192</v>
      </c>
      <c r="I7" t="s" s="62">
        <v>193</v>
      </c>
      <c r="J7" t="s" s="62">
        <v>194</v>
      </c>
      <c r="K7" t="s" s="62">
        <v>195</v>
      </c>
      <c r="L7" t="s" s="62">
        <v>196</v>
      </c>
      <c r="M7" t="s" s="62">
        <v>197</v>
      </c>
      <c r="N7" t="s" s="62">
        <v>198</v>
      </c>
      <c r="O7" t="s" s="62">
        <v>199</v>
      </c>
      <c r="P7" t="s" s="62">
        <v>200</v>
      </c>
      <c r="Q7" t="s" s="62">
        <v>201</v>
      </c>
      <c r="R7" t="s" s="62">
        <v>182</v>
      </c>
      <c r="S7" t="s" s="62">
        <v>202</v>
      </c>
    </row>
    <row r="8" ht="20.25" customHeight="1">
      <c r="A8" s="17"/>
      <c r="B8" s="58"/>
      <c r="C8" s="18"/>
      <c r="D8" t="s" s="59">
        <v>203</v>
      </c>
      <c r="E8" s="208"/>
      <c r="F8" t="s" s="60">
        <v>2</v>
      </c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t="s" s="60">
        <v>2</v>
      </c>
      <c r="S8" t="s" s="59">
        <v>204</v>
      </c>
    </row>
    <row r="9" ht="20.25" customHeight="1">
      <c r="A9" t="s" s="13">
        <v>233</v>
      </c>
      <c r="B9" s="209">
        <f>'Cash Flow Year 1'!Q43</f>
        <v>8960.318100000201</v>
      </c>
      <c r="C9" s="15"/>
      <c r="D9" s="15"/>
      <c r="E9" s="15"/>
      <c r="F9" s="210">
        <f>B9</f>
        <v>8960.318100000201</v>
      </c>
      <c r="G9" s="211">
        <f>(F9+F40)</f>
        <v>4774.8042771691</v>
      </c>
      <c r="H9" s="211">
        <f>(G9+G40)</f>
        <v>1530.754514612</v>
      </c>
      <c r="I9" s="211">
        <f>(H9+H40)</f>
        <v>-1217.8238082191</v>
      </c>
      <c r="J9" s="211">
        <f>(I9+I40)</f>
        <v>-4718.3727776255</v>
      </c>
      <c r="K9" s="211">
        <f>(J9+J40)</f>
        <v>-6261.2193004566</v>
      </c>
      <c r="L9" s="211">
        <f>(K9+K40)</f>
        <v>-8511.564769863</v>
      </c>
      <c r="M9" s="211">
        <f>(L9+L40)</f>
        <v>-10816.0812926941</v>
      </c>
      <c r="N9" s="211">
        <f>(M9+M40)</f>
        <v>-11969.6571155252</v>
      </c>
      <c r="O9" s="211">
        <f>(N9+N40)</f>
        <v>-13984.3762849316</v>
      </c>
      <c r="P9" s="211">
        <f>(O9+O40)</f>
        <v>-16889.5474077627</v>
      </c>
      <c r="Q9" s="211">
        <f>(P9+P40)</f>
        <v>-17480.1893771691</v>
      </c>
      <c r="R9" s="132"/>
      <c r="S9" s="132"/>
    </row>
    <row r="10" ht="20.25" customHeight="1">
      <c r="A10" s="17"/>
      <c r="B10" s="29"/>
      <c r="C10" s="18"/>
      <c r="D10" s="18"/>
      <c r="E10" s="18"/>
      <c r="F10" s="201"/>
      <c r="G10" s="201"/>
      <c r="H10" s="201"/>
      <c r="I10" s="201"/>
      <c r="J10" s="201"/>
      <c r="K10" s="201"/>
      <c r="L10" s="201"/>
      <c r="M10" s="201"/>
      <c r="N10" s="201"/>
      <c r="O10" s="201"/>
      <c r="P10" s="201"/>
      <c r="Q10" s="201"/>
      <c r="R10" s="201"/>
      <c r="S10" s="201"/>
    </row>
    <row r="11" ht="20.25" customHeight="1">
      <c r="A11" t="s" s="24">
        <v>234</v>
      </c>
      <c r="B11" s="27">
        <f>(B5*B12)</f>
        <v>409500</v>
      </c>
      <c r="C11" s="15"/>
      <c r="D11" s="15"/>
      <c r="E11" s="15"/>
      <c r="F11" s="212">
        <f>($B$11*F13)</f>
        <v>28091.7</v>
      </c>
      <c r="G11" s="212">
        <f>($B$11*G13)</f>
        <v>28255.5</v>
      </c>
      <c r="H11" s="212">
        <f>($B$11*H13)</f>
        <v>30753.45</v>
      </c>
      <c r="I11" s="212">
        <f>($B$11*I13)</f>
        <v>26986.05</v>
      </c>
      <c r="J11" s="212">
        <f>($B$11*J13)</f>
        <v>37059.75</v>
      </c>
      <c r="K11" s="212">
        <f>($B$11*K13)</f>
        <v>31285.8</v>
      </c>
      <c r="L11" s="212">
        <f>($B$11*L13)</f>
        <v>32964.75</v>
      </c>
      <c r="M11" s="212">
        <f>($B$11*M13)</f>
        <v>33824.7</v>
      </c>
      <c r="N11" s="212">
        <f>($B$11*N13)</f>
        <v>30835.35</v>
      </c>
      <c r="O11" s="212">
        <f>($B$11*O13)</f>
        <v>31408.65</v>
      </c>
      <c r="P11" s="212">
        <f>($B$11*P13)</f>
        <v>35585.55</v>
      </c>
      <c r="Q11" s="212">
        <f>($B$11*Q13)</f>
        <v>62407.8</v>
      </c>
      <c r="R11" s="212">
        <f>SUM(F11:Q11)</f>
        <v>409459.05</v>
      </c>
      <c r="S11" s="212"/>
    </row>
    <row r="12" ht="20.25" customHeight="1">
      <c r="A12" t="s" s="198">
        <v>228</v>
      </c>
      <c r="B12" s="213">
        <f>'Assumptions'!C40</f>
        <v>325</v>
      </c>
      <c r="C12" s="18"/>
      <c r="D12" s="18"/>
      <c r="E12" s="18"/>
      <c r="F12" s="201"/>
      <c r="G12" s="201"/>
      <c r="H12" s="201"/>
      <c r="I12" s="201"/>
      <c r="J12" s="201"/>
      <c r="K12" s="201"/>
      <c r="L12" s="201"/>
      <c r="M12" s="201"/>
      <c r="N12" s="201"/>
      <c r="O12" s="201"/>
      <c r="P12" s="201"/>
      <c r="Q12" s="201"/>
      <c r="R12" t="s" s="214">
        <v>2</v>
      </c>
      <c r="S12" s="201"/>
    </row>
    <row r="13" ht="20.25" customHeight="1">
      <c r="A13" t="s" s="111">
        <v>207</v>
      </c>
      <c r="B13" s="27"/>
      <c r="C13" s="15"/>
      <c r="D13" s="215">
        <f>SUM(E13:Q13)</f>
        <v>0.9999</v>
      </c>
      <c r="E13" s="216"/>
      <c r="F13" s="217">
        <v>0.06859999999999999</v>
      </c>
      <c r="G13" s="217">
        <v>0.06900000000000001</v>
      </c>
      <c r="H13" s="217">
        <v>0.0751</v>
      </c>
      <c r="I13" s="217">
        <v>0.0659</v>
      </c>
      <c r="J13" s="217">
        <v>0.0905</v>
      </c>
      <c r="K13" s="217">
        <v>0.0764</v>
      </c>
      <c r="L13" s="217">
        <v>0.0805</v>
      </c>
      <c r="M13" s="217">
        <v>0.08260000000000001</v>
      </c>
      <c r="N13" s="217">
        <v>0.07530000000000001</v>
      </c>
      <c r="O13" s="217">
        <v>0.0767</v>
      </c>
      <c r="P13" s="217">
        <v>0.08690000000000001</v>
      </c>
      <c r="Q13" s="217">
        <v>0.1524</v>
      </c>
      <c r="R13" s="218">
        <f>SUM(F13:Q13)</f>
        <v>0.9999</v>
      </c>
      <c r="S13" s="218"/>
    </row>
    <row r="14" ht="20.25" customHeight="1">
      <c r="A14" s="17"/>
      <c r="B14" s="29"/>
      <c r="C14" s="18"/>
      <c r="D14" s="18"/>
      <c r="E14" s="18"/>
      <c r="F14" s="201"/>
      <c r="G14" s="201"/>
      <c r="H14" s="201"/>
      <c r="I14" s="201"/>
      <c r="J14" s="201"/>
      <c r="K14" s="201"/>
      <c r="L14" s="201"/>
      <c r="M14" s="201"/>
      <c r="N14" s="201"/>
      <c r="O14" s="201"/>
      <c r="P14" s="201"/>
      <c r="Q14" s="201"/>
      <c r="R14" t="s" s="214">
        <v>2</v>
      </c>
      <c r="S14" s="201"/>
    </row>
    <row r="15" ht="20.25" customHeight="1">
      <c r="A15" t="s" s="24">
        <v>235</v>
      </c>
      <c r="B15" s="27">
        <f>(B9+B11)</f>
        <v>418460.3181</v>
      </c>
      <c r="C15" s="15"/>
      <c r="D15" s="15"/>
      <c r="E15" s="15"/>
      <c r="F15" s="212">
        <f>(F9+F11)</f>
        <v>37052.0181000002</v>
      </c>
      <c r="G15" s="212">
        <f>(G9+G11)</f>
        <v>33030.3042771691</v>
      </c>
      <c r="H15" s="212">
        <f>(H9+H11)</f>
        <v>32284.204514612</v>
      </c>
      <c r="I15" s="212">
        <f>(I9+I11)</f>
        <v>25768.2261917809</v>
      </c>
      <c r="J15" s="212">
        <f>(J9+J11)</f>
        <v>32341.3772223745</v>
      </c>
      <c r="K15" s="212">
        <f>(K9+K11)</f>
        <v>25024.5806995434</v>
      </c>
      <c r="L15" s="212">
        <f>(L9+L11)</f>
        <v>24453.185230137</v>
      </c>
      <c r="M15" s="212">
        <f>(M9+M11)</f>
        <v>23008.6187073059</v>
      </c>
      <c r="N15" s="212">
        <f>(N9+N11)</f>
        <v>18865.6928844748</v>
      </c>
      <c r="O15" s="212">
        <f>(O9+O11)</f>
        <v>17424.2737150684</v>
      </c>
      <c r="P15" s="212">
        <f>(P9+P11)</f>
        <v>18696.0025922373</v>
      </c>
      <c r="Q15" s="212">
        <f>(Q9+Q11)</f>
        <v>44927.6106228309</v>
      </c>
      <c r="R15" s="212">
        <f>SUM(F15:Q15)</f>
        <v>332876.094757534</v>
      </c>
      <c r="S15" t="s" s="219">
        <v>2</v>
      </c>
    </row>
    <row r="16" ht="20.25" customHeight="1">
      <c r="A16" s="17"/>
      <c r="B16" s="29"/>
      <c r="C16" s="18"/>
      <c r="D16" s="18"/>
      <c r="E16" s="18"/>
      <c r="F16" s="201"/>
      <c r="G16" s="201"/>
      <c r="H16" s="201"/>
      <c r="I16" s="201"/>
      <c r="J16" s="201"/>
      <c r="K16" s="201"/>
      <c r="L16" s="201"/>
      <c r="M16" s="201"/>
      <c r="N16" s="201"/>
      <c r="O16" s="201"/>
      <c r="P16" s="201"/>
      <c r="Q16" s="201"/>
      <c r="R16" t="s" s="214">
        <v>2</v>
      </c>
      <c r="S16" s="201"/>
    </row>
    <row r="17" ht="20.25" customHeight="1">
      <c r="A17" t="s" s="24">
        <v>236</v>
      </c>
      <c r="B17" s="27"/>
      <c r="C17" s="15"/>
      <c r="D17" s="216"/>
      <c r="E17" s="15"/>
      <c r="F17" s="212"/>
      <c r="G17" s="212"/>
      <c r="H17" s="212"/>
      <c r="I17" s="212"/>
      <c r="J17" s="212"/>
      <c r="K17" s="212"/>
      <c r="L17" s="212"/>
      <c r="M17" s="212"/>
      <c r="N17" s="212"/>
      <c r="O17" s="212"/>
      <c r="P17" s="212"/>
      <c r="Q17" s="212"/>
      <c r="R17" t="s" s="219">
        <v>2</v>
      </c>
      <c r="S17" s="196"/>
    </row>
    <row r="18" ht="20.25" customHeight="1">
      <c r="A18" t="s" s="24">
        <v>237</v>
      </c>
      <c r="B18" s="29">
        <f>($D$18*B11)</f>
        <v>233415</v>
      </c>
      <c r="C18" s="18"/>
      <c r="D18" s="220">
        <f>'Assumptions'!C46</f>
        <v>0.57</v>
      </c>
      <c r="E18" t="s" s="19">
        <v>167</v>
      </c>
      <c r="F18" s="221">
        <f>(F11*$D$18)</f>
        <v>16012.269</v>
      </c>
      <c r="G18" s="221">
        <f>(G11*$D$18)</f>
        <v>16105.635</v>
      </c>
      <c r="H18" s="221">
        <f>(H11*$D$18)</f>
        <v>17529.4665</v>
      </c>
      <c r="I18" s="221">
        <f>(I11*$D$18)</f>
        <v>15382.0485</v>
      </c>
      <c r="J18" s="221">
        <f>(J11*$D$18)</f>
        <v>21124.0575</v>
      </c>
      <c r="K18" s="221">
        <f>(K11*$D$18)</f>
        <v>17832.906</v>
      </c>
      <c r="L18" s="221">
        <f>(L11*$D$18)</f>
        <v>18789.9075</v>
      </c>
      <c r="M18" s="221">
        <f>(M11*$D$18)</f>
        <v>19280.079</v>
      </c>
      <c r="N18" s="221">
        <f>(N11*$D$18)</f>
        <v>17576.1495</v>
      </c>
      <c r="O18" s="221">
        <f>(O11*$D$18)</f>
        <v>17902.9305</v>
      </c>
      <c r="P18" s="221">
        <f>(P11*$D$18)</f>
        <v>20283.7635</v>
      </c>
      <c r="Q18" s="221">
        <f>(Q11*$D$18)</f>
        <v>35572.446</v>
      </c>
      <c r="R18" s="221">
        <f>SUM(F18:Q18)</f>
        <v>233391.6585</v>
      </c>
      <c r="S18" s="222">
        <f>(R18/$R$11)</f>
        <v>0.57</v>
      </c>
    </row>
    <row r="19" ht="20.25" customHeight="1">
      <c r="A19" s="17"/>
      <c r="B19" s="27"/>
      <c r="C19" s="15"/>
      <c r="D19" t="s" s="223">
        <v>2</v>
      </c>
      <c r="E19" s="15"/>
      <c r="F19" s="196"/>
      <c r="G19" s="196"/>
      <c r="H19" s="196"/>
      <c r="I19" s="196"/>
      <c r="J19" s="196"/>
      <c r="K19" s="196"/>
      <c r="L19" s="196"/>
      <c r="M19" s="196"/>
      <c r="N19" s="196"/>
      <c r="O19" s="196"/>
      <c r="P19" s="196"/>
      <c r="Q19" s="196"/>
      <c r="R19" t="s" s="219">
        <v>2</v>
      </c>
      <c r="S19" t="s" s="219">
        <v>2</v>
      </c>
    </row>
    <row r="20" ht="20.25" customHeight="1">
      <c r="A20" t="s" s="224">
        <v>238</v>
      </c>
      <c r="B20" s="29"/>
      <c r="C20" s="18"/>
      <c r="D20" s="18"/>
      <c r="E20" s="18"/>
      <c r="F20" t="s" s="214">
        <v>2</v>
      </c>
      <c r="G20" t="s" s="214">
        <v>2</v>
      </c>
      <c r="H20" t="s" s="214">
        <v>2</v>
      </c>
      <c r="I20" t="s" s="214">
        <v>2</v>
      </c>
      <c r="J20" t="s" s="214">
        <v>2</v>
      </c>
      <c r="K20" t="s" s="214">
        <v>2</v>
      </c>
      <c r="L20" t="s" s="214">
        <v>2</v>
      </c>
      <c r="M20" t="s" s="214">
        <v>2</v>
      </c>
      <c r="N20" t="s" s="214">
        <v>2</v>
      </c>
      <c r="O20" t="s" s="214">
        <v>2</v>
      </c>
      <c r="P20" t="s" s="214">
        <v>2</v>
      </c>
      <c r="Q20" t="s" s="214">
        <v>2</v>
      </c>
      <c r="R20" t="s" s="214">
        <v>2</v>
      </c>
      <c r="S20" t="s" s="214">
        <v>2</v>
      </c>
    </row>
    <row r="21" ht="20.25" customHeight="1">
      <c r="A21" t="s" s="24">
        <v>210</v>
      </c>
      <c r="B21" s="27">
        <f>(B11*D21)</f>
        <v>76167</v>
      </c>
      <c r="C21" s="15"/>
      <c r="D21" s="216">
        <f>'Industry Averages (High Profit)'!C23</f>
        <v>0.186</v>
      </c>
      <c r="E21" s="15"/>
      <c r="F21" s="212">
        <f>'Proforma P&amp;L Year 2'!F17</f>
        <v>9075.118356164390</v>
      </c>
      <c r="G21" s="212">
        <f>'Proforma P&amp;L Year 2'!G17</f>
        <v>8196.881095890411</v>
      </c>
      <c r="H21" s="212">
        <f>'Proforma P&amp;L Year 2'!H17</f>
        <v>9075.118356164390</v>
      </c>
      <c r="I21" s="212">
        <f>'Proforma P&amp;L Year 2'!I17</f>
        <v>8782.372602739730</v>
      </c>
      <c r="J21" s="212">
        <f>'Proforma P&amp;L Year 2'!J17</f>
        <v>9075.118356164390</v>
      </c>
      <c r="K21" s="212">
        <f>'Proforma P&amp;L Year 2'!K17</f>
        <v>8782.372602739730</v>
      </c>
      <c r="L21" s="212">
        <f>'Proforma P&amp;L Year 2'!L17</f>
        <v>9075.118356164390</v>
      </c>
      <c r="M21" s="212">
        <f>'Proforma P&amp;L Year 2'!M17</f>
        <v>9075.118356164390</v>
      </c>
      <c r="N21" s="212">
        <f>'Proforma P&amp;L Year 2'!N17</f>
        <v>8782.372602739730</v>
      </c>
      <c r="O21" s="212">
        <f>'Proforma P&amp;L Year 2'!O17</f>
        <v>9075.118356164390</v>
      </c>
      <c r="P21" s="212">
        <f>'Proforma P&amp;L Year 2'!P17</f>
        <v>8782.372602739730</v>
      </c>
      <c r="Q21" s="212">
        <f>'Proforma P&amp;L Year 2'!Q17</f>
        <v>9075.118356164390</v>
      </c>
      <c r="R21" s="212">
        <f>SUM(F21:Q21)</f>
        <v>106852.2</v>
      </c>
      <c r="S21" s="217">
        <f>(R21/$R$11)</f>
        <v>0.260959429276261</v>
      </c>
    </row>
    <row r="22" ht="14.25" customHeight="1">
      <c r="A22" t="s" s="24">
        <v>87</v>
      </c>
      <c r="B22" s="225">
        <f>'Assumptions'!B26</f>
        <v>35000</v>
      </c>
      <c r="C22" s="200"/>
      <c r="D22" s="220">
        <f>'Industry Averages (High Profit)'!C25</f>
        <v>0.07000000000000001</v>
      </c>
      <c r="E22" t="s" s="226">
        <v>167</v>
      </c>
      <c r="F22" s="227">
        <f>($B$22/12)</f>
        <v>2916.666666666670</v>
      </c>
      <c r="G22" s="227">
        <f>($B$22/12)</f>
        <v>2916.666666666670</v>
      </c>
      <c r="H22" s="227">
        <f>($B$22/12)</f>
        <v>2916.666666666670</v>
      </c>
      <c r="I22" s="227">
        <f>($B$22/12)</f>
        <v>2916.666666666670</v>
      </c>
      <c r="J22" s="227">
        <f>($B$22/12)</f>
        <v>2916.666666666670</v>
      </c>
      <c r="K22" s="227">
        <f>($B$22/12)</f>
        <v>2916.666666666670</v>
      </c>
      <c r="L22" s="227">
        <f>($B$22/12)</f>
        <v>2916.666666666670</v>
      </c>
      <c r="M22" s="227">
        <f>($B$22/12)</f>
        <v>2916.666666666670</v>
      </c>
      <c r="N22" s="227">
        <f>($B$22/12)</f>
        <v>2916.666666666670</v>
      </c>
      <c r="O22" s="227">
        <f>($B$22/12)</f>
        <v>2916.666666666670</v>
      </c>
      <c r="P22" s="227">
        <f>($B$22/12)</f>
        <v>2916.666666666670</v>
      </c>
      <c r="Q22" s="227">
        <f>($B$22/12)</f>
        <v>2916.666666666670</v>
      </c>
      <c r="R22" s="227">
        <f>SUM(F22:Q22)</f>
        <v>35000</v>
      </c>
      <c r="S22" s="228">
        <f>(R22/$R$11)</f>
        <v>0.0854786333334188</v>
      </c>
    </row>
    <row r="23" ht="20.25" customHeight="1">
      <c r="A23" t="s" s="24">
        <v>242</v>
      </c>
      <c r="B23" s="27">
        <f>($B$11*$D23)</f>
        <v>7371</v>
      </c>
      <c r="C23" s="15"/>
      <c r="D23" s="229">
        <f>'Industry Averages (High Profit)'!C26+'Industry Averages (High Profit)'!C27+'Industry Averages (High Profit)'!C28</f>
        <v>0.018</v>
      </c>
      <c r="E23" s="15"/>
      <c r="F23" s="212">
        <f>($B$23/12)</f>
        <v>614.25</v>
      </c>
      <c r="G23" s="212">
        <f>($B$23/12)</f>
        <v>614.25</v>
      </c>
      <c r="H23" s="212">
        <f>($B$23/12)</f>
        <v>614.25</v>
      </c>
      <c r="I23" s="212">
        <f>($B$23/12)</f>
        <v>614.25</v>
      </c>
      <c r="J23" s="212">
        <f>($B$23/12)</f>
        <v>614.25</v>
      </c>
      <c r="K23" s="212">
        <f>($B$23/12)</f>
        <v>614.25</v>
      </c>
      <c r="L23" s="212">
        <f>($B$23/12)</f>
        <v>614.25</v>
      </c>
      <c r="M23" s="212">
        <f>($B$23/12)</f>
        <v>614.25</v>
      </c>
      <c r="N23" s="212">
        <f>($B$23/12)</f>
        <v>614.25</v>
      </c>
      <c r="O23" s="212">
        <f>($B$23/12)</f>
        <v>614.25</v>
      </c>
      <c r="P23" s="212">
        <f>($B$23/12)</f>
        <v>614.25</v>
      </c>
      <c r="Q23" s="212">
        <f>($B$23/12)</f>
        <v>614.25</v>
      </c>
      <c r="R23" s="212">
        <f>SUM(F23:Q23)</f>
        <v>7371</v>
      </c>
      <c r="S23" s="217">
        <f>(R23/$R$11)</f>
        <v>0.018001800180018</v>
      </c>
    </row>
    <row r="24" ht="20.25" customHeight="1">
      <c r="A24" t="s" s="24">
        <v>212</v>
      </c>
      <c r="B24" s="29">
        <f>($B$11*$D24)</f>
        <v>8190</v>
      </c>
      <c r="C24" s="18"/>
      <c r="D24" s="220">
        <f>'Assumptions'!C51</f>
        <v>0.02</v>
      </c>
      <c r="E24" t="s" s="19">
        <v>167</v>
      </c>
      <c r="F24" s="221">
        <f>(F11*$D$24)</f>
        <v>561.8339999999999</v>
      </c>
      <c r="G24" s="221">
        <f>(G11*$D$24)</f>
        <v>565.11</v>
      </c>
      <c r="H24" s="221">
        <f>(H11*$D$24)</f>
        <v>615.069</v>
      </c>
      <c r="I24" s="221">
        <f>(I11*$D$24)</f>
        <v>539.721</v>
      </c>
      <c r="J24" s="221">
        <f>(J11*$D$24)</f>
        <v>741.1950000000001</v>
      </c>
      <c r="K24" s="221">
        <f>(K11*$D$24)</f>
        <v>625.716</v>
      </c>
      <c r="L24" s="221">
        <f>(L11*$D$24)</f>
        <v>659.295</v>
      </c>
      <c r="M24" s="221">
        <f>(M11*$D$24)</f>
        <v>676.494</v>
      </c>
      <c r="N24" s="221">
        <f>(N11*$D$24)</f>
        <v>616.707</v>
      </c>
      <c r="O24" s="221">
        <f>(O11*$D$24)</f>
        <v>628.173</v>
      </c>
      <c r="P24" s="221">
        <f>(P11*$D$24)</f>
        <v>711.711</v>
      </c>
      <c r="Q24" s="221">
        <f>(Q11*$D$24)</f>
        <v>1248.156</v>
      </c>
      <c r="R24" s="221">
        <f>SUM(F24:Q24)</f>
        <v>8189.181</v>
      </c>
      <c r="S24" s="222">
        <f>(R24/$R$11)</f>
        <v>0.02</v>
      </c>
    </row>
    <row r="25" ht="20.25" customHeight="1">
      <c r="A25" t="s" s="24">
        <v>96</v>
      </c>
      <c r="B25" s="27">
        <f>($B$11*$D25)</f>
        <v>2457</v>
      </c>
      <c r="C25" s="15"/>
      <c r="D25" s="216">
        <f>'Industry Averages (High Profit)'!C33</f>
        <v>0.006</v>
      </c>
      <c r="E25" s="15"/>
      <c r="F25" s="212">
        <f>($B$25/12)</f>
        <v>204.75</v>
      </c>
      <c r="G25" s="212">
        <f>($B$25/12)</f>
        <v>204.75</v>
      </c>
      <c r="H25" s="212">
        <f>($B$25/12)</f>
        <v>204.75</v>
      </c>
      <c r="I25" s="212">
        <f>($B$25/12)</f>
        <v>204.75</v>
      </c>
      <c r="J25" s="212">
        <f>($B$25/12)</f>
        <v>204.75</v>
      </c>
      <c r="K25" s="212">
        <f>($B$25/12)</f>
        <v>204.75</v>
      </c>
      <c r="L25" s="212">
        <f>($B$25/12)</f>
        <v>204.75</v>
      </c>
      <c r="M25" s="212">
        <f>($B$25/12)</f>
        <v>204.75</v>
      </c>
      <c r="N25" s="212">
        <f>($B$25/12)</f>
        <v>204.75</v>
      </c>
      <c r="O25" s="212">
        <f>($B$25/12)</f>
        <v>204.75</v>
      </c>
      <c r="P25" s="212">
        <f>($B$25/12)</f>
        <v>204.75</v>
      </c>
      <c r="Q25" s="212">
        <f>($B$25/12)</f>
        <v>204.75</v>
      </c>
      <c r="R25" s="212">
        <f>SUM(F25:Q25)</f>
        <v>2457</v>
      </c>
      <c r="S25" s="217">
        <f>(R25/$R$11)</f>
        <v>0.006000600060006</v>
      </c>
    </row>
    <row r="26" ht="20.25" customHeight="1">
      <c r="A26" t="s" s="24">
        <v>164</v>
      </c>
      <c r="B26" s="29">
        <f>($B$11*$D26)</f>
        <v>3276</v>
      </c>
      <c r="C26" s="18"/>
      <c r="D26" s="230">
        <f>'Industry Averages (High Profit)'!C34</f>
        <v>0.008</v>
      </c>
      <c r="E26" s="18"/>
      <c r="F26" s="221">
        <f>($B$26/12)</f>
        <v>273</v>
      </c>
      <c r="G26" s="221">
        <f>($B$26/12)</f>
        <v>273</v>
      </c>
      <c r="H26" s="221">
        <f>($B$26/12)</f>
        <v>273</v>
      </c>
      <c r="I26" s="221">
        <f>($B$26/12)</f>
        <v>273</v>
      </c>
      <c r="J26" s="221">
        <f>($B$26/12)</f>
        <v>273</v>
      </c>
      <c r="K26" s="221">
        <f>($B$26/12)</f>
        <v>273</v>
      </c>
      <c r="L26" s="221">
        <f>($B$26/12)</f>
        <v>273</v>
      </c>
      <c r="M26" s="221">
        <f>($B$26/12)</f>
        <v>273</v>
      </c>
      <c r="N26" s="221">
        <f>($B$26/12)</f>
        <v>273</v>
      </c>
      <c r="O26" s="221">
        <f>($B$26/12)</f>
        <v>273</v>
      </c>
      <c r="P26" s="221">
        <f>($B$26/12)</f>
        <v>273</v>
      </c>
      <c r="Q26" s="221">
        <f>($B$26/12)</f>
        <v>273</v>
      </c>
      <c r="R26" s="221">
        <f>SUM(F26:Q26)</f>
        <v>3276</v>
      </c>
      <c r="S26" s="222">
        <f>(R26/$R$11)</f>
        <v>0.008000800080008001</v>
      </c>
    </row>
    <row r="27" ht="20.25" customHeight="1">
      <c r="A27" t="s" s="24">
        <v>213</v>
      </c>
      <c r="B27" s="27">
        <f>($B$11*$D27)</f>
        <v>5733</v>
      </c>
      <c r="C27" s="15"/>
      <c r="D27" s="216">
        <f>'Industry Averages (High Profit)'!C35</f>
        <v>0.014</v>
      </c>
      <c r="E27" s="15"/>
      <c r="F27" s="212">
        <f>($B$27/12)</f>
        <v>477.75</v>
      </c>
      <c r="G27" s="212">
        <f>($B$27/12)</f>
        <v>477.75</v>
      </c>
      <c r="H27" s="212">
        <f>($B$27/12)</f>
        <v>477.75</v>
      </c>
      <c r="I27" s="212">
        <f>($B$27/12)</f>
        <v>477.75</v>
      </c>
      <c r="J27" s="212">
        <f>($B$27/12)</f>
        <v>477.75</v>
      </c>
      <c r="K27" s="212">
        <f>($B$27/12)</f>
        <v>477.75</v>
      </c>
      <c r="L27" s="212">
        <f>($B$27/12)</f>
        <v>477.75</v>
      </c>
      <c r="M27" s="212">
        <f>($B$27/12)</f>
        <v>477.75</v>
      </c>
      <c r="N27" s="212">
        <f>($B$27/12)</f>
        <v>477.75</v>
      </c>
      <c r="O27" s="212">
        <f>($B$27/12)</f>
        <v>477.75</v>
      </c>
      <c r="P27" s="212">
        <f>($B$27/12)</f>
        <v>477.75</v>
      </c>
      <c r="Q27" s="212">
        <f>($B$27/12)</f>
        <v>477.75</v>
      </c>
      <c r="R27" s="212">
        <f>SUM(F27:Q27)</f>
        <v>5733</v>
      </c>
      <c r="S27" s="217">
        <f>(R27/$R$11)</f>
        <v>0.014001400140014</v>
      </c>
    </row>
    <row r="28" ht="20.25" customHeight="1">
      <c r="A28" t="s" s="24">
        <v>214</v>
      </c>
      <c r="B28" s="29">
        <f>($B$11*$D28)</f>
        <v>1638</v>
      </c>
      <c r="C28" s="18"/>
      <c r="D28" s="230">
        <f>'Industry Averages (High Profit)'!C37</f>
        <v>0.004</v>
      </c>
      <c r="E28" s="18"/>
      <c r="F28" t="s" s="214">
        <v>2</v>
      </c>
      <c r="G28" s="221">
        <f>($B$28/2)</f>
        <v>819</v>
      </c>
      <c r="H28" t="s" s="214">
        <v>2</v>
      </c>
      <c r="I28" t="s" s="214">
        <v>2</v>
      </c>
      <c r="J28" t="s" s="214">
        <v>2</v>
      </c>
      <c r="K28" t="s" s="214">
        <v>2</v>
      </c>
      <c r="L28" t="s" s="214">
        <v>2</v>
      </c>
      <c r="M28" t="s" s="214">
        <v>2</v>
      </c>
      <c r="N28" t="s" s="214">
        <v>2</v>
      </c>
      <c r="O28" s="221">
        <f>($B$28/2)</f>
        <v>819</v>
      </c>
      <c r="P28" t="s" s="214">
        <v>2</v>
      </c>
      <c r="Q28" t="s" s="214">
        <v>2</v>
      </c>
      <c r="R28" s="221">
        <f>SUM(F28:Q28)</f>
        <v>1638</v>
      </c>
      <c r="S28" s="222">
        <f>(R28/$R$11)</f>
        <v>0.004000400040004</v>
      </c>
    </row>
    <row r="29" ht="20.25" customHeight="1">
      <c r="A29" t="s" s="24">
        <v>215</v>
      </c>
      <c r="B29" s="27">
        <f>($B$11*$D29)</f>
        <v>1638</v>
      </c>
      <c r="C29" s="15"/>
      <c r="D29" s="216">
        <f>'Industry Averages (High Profit)'!C38</f>
        <v>0.004</v>
      </c>
      <c r="E29" s="15"/>
      <c r="F29" t="s" s="219">
        <v>2</v>
      </c>
      <c r="G29" t="s" s="219">
        <v>2</v>
      </c>
      <c r="H29" t="s" s="219">
        <v>2</v>
      </c>
      <c r="I29" t="s" s="219">
        <v>2</v>
      </c>
      <c r="J29" s="212">
        <f>B29</f>
        <v>1638</v>
      </c>
      <c r="K29" t="s" s="219">
        <v>2</v>
      </c>
      <c r="L29" t="s" s="219">
        <v>2</v>
      </c>
      <c r="M29" t="s" s="219">
        <v>2</v>
      </c>
      <c r="N29" t="s" s="219">
        <v>2</v>
      </c>
      <c r="O29" t="s" s="219">
        <v>2</v>
      </c>
      <c r="P29" t="s" s="219">
        <v>2</v>
      </c>
      <c r="Q29" t="s" s="219">
        <v>2</v>
      </c>
      <c r="R29" s="212">
        <f>SUM(F29:Q29)</f>
        <v>1638</v>
      </c>
      <c r="S29" s="217">
        <f>(R29/$R$11)</f>
        <v>0.004000400040004</v>
      </c>
    </row>
    <row r="30" ht="20.25" customHeight="1">
      <c r="A30" t="s" s="24">
        <v>216</v>
      </c>
      <c r="B30" s="29">
        <f>($B$11*$D30)</f>
        <v>9828</v>
      </c>
      <c r="C30" s="18"/>
      <c r="D30" s="230">
        <f>'Industry Averages (High Profit)'!C40</f>
        <v>0.024</v>
      </c>
      <c r="E30" s="18"/>
      <c r="F30" s="221">
        <f>(F11*$D$30)</f>
        <v>674.2008</v>
      </c>
      <c r="G30" s="221">
        <f>(G11*$D$30)</f>
        <v>678.1319999999999</v>
      </c>
      <c r="H30" s="221">
        <f>(H11*$D$30)</f>
        <v>738.0828</v>
      </c>
      <c r="I30" s="221">
        <f>(I11*$D$30)</f>
        <v>647.6652</v>
      </c>
      <c r="J30" s="221">
        <f>(J11*$D$30)</f>
        <v>889.434</v>
      </c>
      <c r="K30" s="221">
        <f>(K11*$D$30)</f>
        <v>750.8592</v>
      </c>
      <c r="L30" s="221">
        <f>(L11*$D$30)</f>
        <v>791.154</v>
      </c>
      <c r="M30" s="221">
        <f>(M11*$D$30)</f>
        <v>811.7928000000001</v>
      </c>
      <c r="N30" s="221">
        <f>(N11*$D$30)</f>
        <v>740.0484</v>
      </c>
      <c r="O30" s="221">
        <f>(O11*$D$30)</f>
        <v>753.8076</v>
      </c>
      <c r="P30" s="221">
        <f>(P11*$D$30)</f>
        <v>854.0531999999999</v>
      </c>
      <c r="Q30" s="221">
        <f>(Q11*$D$30)</f>
        <v>1497.7872</v>
      </c>
      <c r="R30" s="221">
        <f>SUM(F30:Q30)</f>
        <v>9827.0172</v>
      </c>
      <c r="S30" s="222">
        <f>(R30/$R$11)</f>
        <v>0.024</v>
      </c>
    </row>
    <row r="31" ht="20.25" customHeight="1">
      <c r="A31" t="s" s="24">
        <v>177</v>
      </c>
      <c r="B31" s="27">
        <f>($B$11*$D31)</f>
        <v>1638</v>
      </c>
      <c r="C31" s="15"/>
      <c r="D31" s="216">
        <f>'Industry Averages (High Profit)'!C41</f>
        <v>0.004</v>
      </c>
      <c r="E31" s="15"/>
      <c r="F31" s="212">
        <f>($B$31/2)</f>
        <v>819</v>
      </c>
      <c r="G31" t="s" s="219">
        <v>2</v>
      </c>
      <c r="H31" t="s" s="219">
        <v>2</v>
      </c>
      <c r="I31" t="s" s="219">
        <v>2</v>
      </c>
      <c r="J31" t="s" s="219">
        <v>2</v>
      </c>
      <c r="K31" t="s" s="219">
        <v>2</v>
      </c>
      <c r="L31" s="212">
        <f>($B$31/2)</f>
        <v>819</v>
      </c>
      <c r="M31" t="s" s="219">
        <v>2</v>
      </c>
      <c r="N31" t="s" s="219">
        <v>2</v>
      </c>
      <c r="O31" t="s" s="219">
        <v>2</v>
      </c>
      <c r="P31" t="s" s="219">
        <v>2</v>
      </c>
      <c r="Q31" t="s" s="219">
        <v>2</v>
      </c>
      <c r="R31" s="212">
        <f>SUM(F31:Q31)</f>
        <v>1638</v>
      </c>
      <c r="S31" s="217">
        <f>(R31/$R$11)</f>
        <v>0.004000400040004</v>
      </c>
    </row>
    <row r="32" ht="20.25" customHeight="1">
      <c r="A32" t="s" s="24">
        <v>111</v>
      </c>
      <c r="B32" s="29">
        <f>($B$11*$D32)</f>
        <v>1228.5</v>
      </c>
      <c r="C32" s="18"/>
      <c r="D32" s="230">
        <f>'Industry Averages (High Profit)'!C42</f>
        <v>0.003</v>
      </c>
      <c r="E32" s="18"/>
      <c r="F32" t="s" s="214">
        <v>2</v>
      </c>
      <c r="G32" t="s" s="214">
        <v>2</v>
      </c>
      <c r="H32" s="221">
        <f>($B$32/3)</f>
        <v>409.5</v>
      </c>
      <c r="I32" t="s" s="214">
        <v>2</v>
      </c>
      <c r="J32" t="s" s="214">
        <v>2</v>
      </c>
      <c r="K32" s="221">
        <f>($B$32/3)</f>
        <v>409.5</v>
      </c>
      <c r="L32" t="s" s="214">
        <v>2</v>
      </c>
      <c r="M32" t="s" s="214">
        <v>2</v>
      </c>
      <c r="N32" t="s" s="214">
        <v>2</v>
      </c>
      <c r="O32" t="s" s="214">
        <v>2</v>
      </c>
      <c r="P32" s="221">
        <f>($B$32/3)</f>
        <v>409.5</v>
      </c>
      <c r="Q32" t="s" s="214">
        <v>2</v>
      </c>
      <c r="R32" s="221">
        <f>SUM(F32:Q32)</f>
        <v>1228.5</v>
      </c>
      <c r="S32" s="222">
        <f>(R32/$R$11)</f>
        <v>0.003000300030003</v>
      </c>
    </row>
    <row r="33" ht="20.25" customHeight="1">
      <c r="A33" t="s" s="24">
        <v>217</v>
      </c>
      <c r="B33" s="27">
        <f>($B$11*$D33)</f>
        <v>1638</v>
      </c>
      <c r="C33" s="15"/>
      <c r="D33" s="216">
        <f>'Industry Averages (High Profit)'!C43</f>
        <v>0.004</v>
      </c>
      <c r="E33" s="15"/>
      <c r="F33" s="212"/>
      <c r="G33" s="212"/>
      <c r="H33" s="212"/>
      <c r="I33" s="212"/>
      <c r="J33" s="212"/>
      <c r="K33" s="212"/>
      <c r="L33" s="212"/>
      <c r="M33" s="212"/>
      <c r="N33" s="212"/>
      <c r="O33" s="212"/>
      <c r="P33" s="212"/>
      <c r="Q33" s="212">
        <f>B33</f>
        <v>1638</v>
      </c>
      <c r="R33" s="212">
        <f>SUM(F33:Q33)</f>
        <v>1638</v>
      </c>
      <c r="S33" s="217">
        <f>(R33/$R$11)</f>
        <v>0.004000400040004</v>
      </c>
    </row>
    <row r="34" ht="20.25" customHeight="1">
      <c r="A34" t="s" s="231">
        <v>218</v>
      </c>
      <c r="B34" s="29">
        <f>($B$11*$D34)</f>
        <v>1228.5</v>
      </c>
      <c r="C34" s="18"/>
      <c r="D34" s="230">
        <f>'Industry Averages (High Profit)'!C44</f>
        <v>0.003</v>
      </c>
      <c r="E34" s="18"/>
      <c r="F34" s="221">
        <f>($B$34/12)</f>
        <v>102.375</v>
      </c>
      <c r="G34" s="221">
        <f>($B$34/12)</f>
        <v>102.375</v>
      </c>
      <c r="H34" s="221">
        <f>($B$34/12)</f>
        <v>102.375</v>
      </c>
      <c r="I34" s="221">
        <f>($B$34/12)</f>
        <v>102.375</v>
      </c>
      <c r="J34" s="221">
        <f>($B$34/12)</f>
        <v>102.375</v>
      </c>
      <c r="K34" s="221">
        <f>($B$34/12)</f>
        <v>102.375</v>
      </c>
      <c r="L34" s="221">
        <f>($B$34/12)</f>
        <v>102.375</v>
      </c>
      <c r="M34" s="221">
        <f>($B$34/12)</f>
        <v>102.375</v>
      </c>
      <c r="N34" s="221">
        <f>($B$34/12)</f>
        <v>102.375</v>
      </c>
      <c r="O34" s="221">
        <f>($B$34/12)</f>
        <v>102.375</v>
      </c>
      <c r="P34" s="221">
        <f>($B$34/12)</f>
        <v>102.375</v>
      </c>
      <c r="Q34" s="221">
        <f>($B$34/12)</f>
        <v>102.375</v>
      </c>
      <c r="R34" s="221">
        <f>SUM(F34:Q34)</f>
        <v>1228.5</v>
      </c>
      <c r="S34" s="222">
        <f>(R34/$R$11)</f>
        <v>0.003000300030003</v>
      </c>
    </row>
    <row r="35" ht="20.25" customHeight="1">
      <c r="A35" t="s" s="232">
        <v>219</v>
      </c>
      <c r="B35" s="27">
        <f>($B$11*$D35)</f>
        <v>1638</v>
      </c>
      <c r="C35" s="15"/>
      <c r="D35" s="216">
        <f>'Industry Averages (High Profit)'!C45</f>
        <v>0.004</v>
      </c>
      <c r="E35" s="15"/>
      <c r="F35" s="212">
        <f>($B$35/12)</f>
        <v>136.5</v>
      </c>
      <c r="G35" s="212">
        <f>($B$35/12)</f>
        <v>136.5</v>
      </c>
      <c r="H35" s="212">
        <f>($B$35/12)</f>
        <v>136.5</v>
      </c>
      <c r="I35" s="212">
        <f>($B$35/12)</f>
        <v>136.5</v>
      </c>
      <c r="J35" s="212">
        <f>($B$35/12)</f>
        <v>136.5</v>
      </c>
      <c r="K35" s="212">
        <f>($B$35/12)</f>
        <v>136.5</v>
      </c>
      <c r="L35" s="212">
        <f>($B$35/12)</f>
        <v>136.5</v>
      </c>
      <c r="M35" s="212">
        <f>($B$35/12)</f>
        <v>136.5</v>
      </c>
      <c r="N35" s="212">
        <f>($B$35/12)</f>
        <v>136.5</v>
      </c>
      <c r="O35" s="212">
        <f>($B$35/12)</f>
        <v>136.5</v>
      </c>
      <c r="P35" s="212">
        <f>($B$35/12)</f>
        <v>136.5</v>
      </c>
      <c r="Q35" s="212">
        <f>($B$35/12)</f>
        <v>136.5</v>
      </c>
      <c r="R35" s="212">
        <f>SUM(F35:Q35)</f>
        <v>1638</v>
      </c>
      <c r="S35" s="217">
        <f>(R35/$R$11)</f>
        <v>0.004000400040004</v>
      </c>
    </row>
    <row r="36" ht="20.25" customHeight="1">
      <c r="A36" t="s" s="232">
        <v>220</v>
      </c>
      <c r="B36" s="29">
        <f>($B$11*$D36)</f>
        <v>4914</v>
      </c>
      <c r="C36" s="18"/>
      <c r="D36" s="230">
        <f>'Industry Averages (High Profit)'!C46</f>
        <v>0.012</v>
      </c>
      <c r="E36" s="18"/>
      <c r="F36" s="221">
        <f>($B$36/12)</f>
        <v>409.5</v>
      </c>
      <c r="G36" s="221">
        <f>($B$36/12)</f>
        <v>409.5</v>
      </c>
      <c r="H36" s="221">
        <f>($B$36/12)</f>
        <v>409.5</v>
      </c>
      <c r="I36" s="221">
        <f>($B$36/12)</f>
        <v>409.5</v>
      </c>
      <c r="J36" s="221">
        <f>($B$36/12)</f>
        <v>409.5</v>
      </c>
      <c r="K36" s="221">
        <f>($B$36/12)</f>
        <v>409.5</v>
      </c>
      <c r="L36" s="221">
        <f>($B$36/12)</f>
        <v>409.5</v>
      </c>
      <c r="M36" s="221">
        <f>($B$36/12)</f>
        <v>409.5</v>
      </c>
      <c r="N36" s="221">
        <f>($B$36/12)</f>
        <v>409.5</v>
      </c>
      <c r="O36" s="221">
        <f>($B$36/12)</f>
        <v>409.5</v>
      </c>
      <c r="P36" s="221">
        <f>($B$36/12)</f>
        <v>409.5</v>
      </c>
      <c r="Q36" s="221">
        <f>($B$36/12)</f>
        <v>409.5</v>
      </c>
      <c r="R36" s="221">
        <f>SUM(F36:Q36)</f>
        <v>4914</v>
      </c>
      <c r="S36" s="222">
        <f>(R36/$R$11)</f>
        <v>0.012001200120012</v>
      </c>
    </row>
    <row r="37" ht="20.25" customHeight="1">
      <c r="A37" t="s" s="233">
        <v>2</v>
      </c>
      <c r="B37" s="27"/>
      <c r="C37" s="15"/>
      <c r="D37" s="15"/>
      <c r="E37" s="15"/>
      <c r="F37" s="196"/>
      <c r="G37" s="196"/>
      <c r="H37" s="196"/>
      <c r="I37" s="196"/>
      <c r="J37" s="196"/>
      <c r="K37" s="196"/>
      <c r="L37" s="196"/>
      <c r="M37" s="196"/>
      <c r="N37" s="196"/>
      <c r="O37" s="196"/>
      <c r="P37" s="196"/>
      <c r="Q37" t="s" s="219">
        <v>2</v>
      </c>
      <c r="R37" s="212"/>
      <c r="S37" t="s" s="219">
        <v>2</v>
      </c>
    </row>
    <row r="38" ht="20.25" customHeight="1">
      <c r="A38" t="s" s="232">
        <v>221</v>
      </c>
      <c r="B38" s="29">
        <f>SUM(B18:B36)</f>
        <v>396998</v>
      </c>
      <c r="C38" s="18"/>
      <c r="D38" s="18"/>
      <c r="E38" s="18"/>
      <c r="F38" s="221">
        <f>SUM(F18:F37)</f>
        <v>32277.2138228311</v>
      </c>
      <c r="G38" s="221">
        <f>SUM(G18:G37)</f>
        <v>31499.5497625571</v>
      </c>
      <c r="H38" s="221">
        <f>SUM(H18:H37)</f>
        <v>33502.0283228311</v>
      </c>
      <c r="I38" s="221">
        <f>SUM(I18:I37)</f>
        <v>30486.5989694064</v>
      </c>
      <c r="J38" s="221">
        <f>SUM(J18:J37)</f>
        <v>38602.5965228311</v>
      </c>
      <c r="K38" s="221">
        <f>SUM(K18:K37)</f>
        <v>33536.1454694064</v>
      </c>
      <c r="L38" s="221">
        <f>SUM(L18:L37)</f>
        <v>35269.2665228311</v>
      </c>
      <c r="M38" s="221">
        <f>SUM(M18:M37)</f>
        <v>34978.2758228311</v>
      </c>
      <c r="N38" s="221">
        <f>SUM(N18:N37)</f>
        <v>32850.0691694064</v>
      </c>
      <c r="O38" s="221">
        <f>SUM(O18:O37)</f>
        <v>34313.8211228311</v>
      </c>
      <c r="P38" s="221">
        <f>SUM(P18:P37)</f>
        <v>36176.1919694064</v>
      </c>
      <c r="Q38" s="221">
        <f>SUM(Q18:Q37)</f>
        <v>54166.2992228311</v>
      </c>
      <c r="R38" s="221">
        <f>SUM(R18:R37)</f>
        <v>427658.0567</v>
      </c>
      <c r="S38" s="222">
        <f>(R38/$R$11)</f>
        <v>1.04444646344976</v>
      </c>
    </row>
    <row r="39" ht="20.25" customHeight="1">
      <c r="A39" s="234"/>
      <c r="B39" s="27"/>
      <c r="C39" s="15"/>
      <c r="D39" s="15"/>
      <c r="E39" s="15"/>
      <c r="F39" s="196"/>
      <c r="G39" s="196"/>
      <c r="H39" s="196"/>
      <c r="I39" s="196"/>
      <c r="J39" s="196"/>
      <c r="K39" s="196"/>
      <c r="L39" s="196"/>
      <c r="M39" s="196"/>
      <c r="N39" s="196"/>
      <c r="O39" s="196"/>
      <c r="P39" s="196"/>
      <c r="Q39" s="196"/>
      <c r="R39" s="196"/>
      <c r="S39" s="196"/>
    </row>
    <row r="40" ht="14.25" customHeight="1">
      <c r="A40" t="s" s="235">
        <v>239</v>
      </c>
      <c r="B40" s="213">
        <f>(B15-B38)</f>
        <v>21462.3181</v>
      </c>
      <c r="C40" s="236"/>
      <c r="D40" s="236"/>
      <c r="E40" s="236"/>
      <c r="F40" s="237">
        <f>(F11-F38)</f>
        <v>-4185.5138228311</v>
      </c>
      <c r="G40" s="237">
        <f>(G11-G38)</f>
        <v>-3244.0497625571</v>
      </c>
      <c r="H40" s="237">
        <f>(H11-H38)</f>
        <v>-2748.5783228311</v>
      </c>
      <c r="I40" s="237">
        <f>(I11-I38)</f>
        <v>-3500.5489694064</v>
      </c>
      <c r="J40" s="237">
        <f>(J11-J38)</f>
        <v>-1542.8465228311</v>
      </c>
      <c r="K40" s="237">
        <f>(K11-K38)</f>
        <v>-2250.3454694064</v>
      </c>
      <c r="L40" s="237">
        <f>(L11-L38)</f>
        <v>-2304.5165228311</v>
      </c>
      <c r="M40" s="237">
        <f>(M11-M38)</f>
        <v>-1153.5758228311</v>
      </c>
      <c r="N40" s="237">
        <f>(N11-N38)</f>
        <v>-2014.7191694064</v>
      </c>
      <c r="O40" s="237">
        <f>(O11-O38)</f>
        <v>-2905.1711228311</v>
      </c>
      <c r="P40" s="237">
        <f>(P11-P38)</f>
        <v>-590.6419694064</v>
      </c>
      <c r="Q40" s="237">
        <f>(Q11-Q38)</f>
        <v>8241.5007771689</v>
      </c>
      <c r="R40" s="237">
        <f>SUM(F40:Q40)</f>
        <v>-18199.0067000004</v>
      </c>
      <c r="S40" s="238">
        <f>R40/R11</f>
        <v>-0.0444464634497648</v>
      </c>
    </row>
    <row r="41" ht="20.25" customHeight="1">
      <c r="A41" t="s" s="24">
        <v>222</v>
      </c>
      <c r="B41" s="27"/>
      <c r="C41" s="15"/>
      <c r="D41" s="15"/>
      <c r="E41" s="15"/>
      <c r="F41" s="212">
        <f>'Funding'!B15</f>
        <v>0</v>
      </c>
      <c r="G41" s="212">
        <f>$F$41</f>
        <v>0</v>
      </c>
      <c r="H41" s="212">
        <f>$F$41</f>
        <v>0</v>
      </c>
      <c r="I41" s="212">
        <f>$F$41</f>
        <v>0</v>
      </c>
      <c r="J41" s="212">
        <f>$F$41</f>
        <v>0</v>
      </c>
      <c r="K41" s="212">
        <f>$F$41</f>
        <v>0</v>
      </c>
      <c r="L41" s="212">
        <f>$F$41</f>
        <v>0</v>
      </c>
      <c r="M41" s="212">
        <f>$F$41</f>
        <v>0</v>
      </c>
      <c r="N41" s="212">
        <f>$F$41</f>
        <v>0</v>
      </c>
      <c r="O41" s="212">
        <f>$F$41</f>
        <v>0</v>
      </c>
      <c r="P41" s="212">
        <f>$F$41</f>
        <v>0</v>
      </c>
      <c r="Q41" s="212">
        <f>$F$41</f>
        <v>0</v>
      </c>
      <c r="R41" s="237">
        <f>SUM(F41:Q41)</f>
        <v>0</v>
      </c>
      <c r="S41" s="196"/>
    </row>
    <row r="42" ht="20.25" customHeight="1">
      <c r="A42" t="s" s="80">
        <v>240</v>
      </c>
      <c r="B42" s="29"/>
      <c r="C42" s="18"/>
      <c r="D42" s="18"/>
      <c r="E42" s="18"/>
      <c r="F42" s="239">
        <f>(F40-F41)</f>
        <v>-4185.5138228311</v>
      </c>
      <c r="G42" s="239">
        <f>(G40-G41)</f>
        <v>-3244.0497625571</v>
      </c>
      <c r="H42" s="239">
        <f>(H40-H41)</f>
        <v>-2748.5783228311</v>
      </c>
      <c r="I42" s="239">
        <f>(I40-I41)</f>
        <v>-3500.5489694064</v>
      </c>
      <c r="J42" s="239">
        <f>(J40-J41)</f>
        <v>-1542.8465228311</v>
      </c>
      <c r="K42" s="239">
        <f>(K40-K41)</f>
        <v>-2250.3454694064</v>
      </c>
      <c r="L42" s="239">
        <f>(L40-L41)</f>
        <v>-2304.5165228311</v>
      </c>
      <c r="M42" s="239">
        <f>(M40-M41)</f>
        <v>-1153.5758228311</v>
      </c>
      <c r="N42" s="239">
        <f>(N40-N41)</f>
        <v>-2014.7191694064</v>
      </c>
      <c r="O42" s="239">
        <f>(O40-O41)</f>
        <v>-2905.1711228311</v>
      </c>
      <c r="P42" s="239">
        <f>(P40-P41)</f>
        <v>-590.6419694064</v>
      </c>
      <c r="Q42" s="239">
        <f>(Q40-Q41)</f>
        <v>8241.5007771689</v>
      </c>
      <c r="R42" s="237">
        <f>SUM(F42:Q42)</f>
        <v>-18199.0067000004</v>
      </c>
      <c r="S42" s="201"/>
    </row>
    <row r="43" ht="20.25" customHeight="1">
      <c r="A43" t="s" s="111">
        <v>241</v>
      </c>
      <c r="B43" s="27"/>
      <c r="C43" s="15"/>
      <c r="D43" s="15"/>
      <c r="E43" s="15"/>
      <c r="F43" s="196"/>
      <c r="G43" s="196"/>
      <c r="H43" s="196"/>
      <c r="I43" s="196"/>
      <c r="J43" s="196"/>
      <c r="K43" s="196"/>
      <c r="L43" s="196"/>
      <c r="M43" s="196"/>
      <c r="N43" s="196"/>
      <c r="O43" s="196"/>
      <c r="P43" s="196"/>
      <c r="Q43" s="240">
        <f>(B9+R42)</f>
        <v>-9238.6886000002</v>
      </c>
      <c r="R43" s="196"/>
      <c r="S43" s="196"/>
    </row>
    <row r="44" ht="20.25" customHeight="1">
      <c r="A44" s="17"/>
      <c r="B44" s="29"/>
      <c r="C44" s="18"/>
      <c r="D44" s="18"/>
      <c r="E44" s="18"/>
      <c r="F44" s="201"/>
      <c r="G44" s="201"/>
      <c r="H44" s="201"/>
      <c r="I44" s="201"/>
      <c r="J44" s="201"/>
      <c r="K44" s="201"/>
      <c r="L44" s="201"/>
      <c r="M44" s="201"/>
      <c r="N44" s="201"/>
      <c r="O44" s="201"/>
      <c r="P44" s="201"/>
      <c r="Q44" s="201"/>
      <c r="R44" s="201"/>
      <c r="S44" s="201"/>
    </row>
    <row r="45" ht="20.25" customHeight="1">
      <c r="A45" t="s" s="24">
        <v>224</v>
      </c>
      <c r="B45" s="27"/>
      <c r="C45" s="15"/>
      <c r="D45" t="s" s="16">
        <v>2</v>
      </c>
      <c r="E45" s="15"/>
      <c r="F45" s="196"/>
      <c r="G45" s="196"/>
      <c r="H45" s="196"/>
      <c r="I45" s="196"/>
      <c r="J45" s="196"/>
      <c r="K45" s="196"/>
      <c r="L45" s="196"/>
      <c r="M45" s="196"/>
      <c r="N45" s="196"/>
      <c r="O45" s="196"/>
      <c r="P45" s="196"/>
      <c r="Q45" s="196"/>
      <c r="R45" s="196"/>
      <c r="S45" s="196"/>
    </row>
  </sheetData>
  <pageMargins left="0.5" right="0.75" top="0.5" bottom="0.5" header="0.25" footer="0.25"/>
  <pageSetup firstPageNumber="1" fitToHeight="1" fitToWidth="1" scale="100" useFirstPageNumber="0" orientation="landscape" pageOrder="downThenOver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