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ssumptions" sheetId="1" r:id="rId4"/>
    <sheet name="Industry Averages" sheetId="2" r:id="rId5"/>
    <sheet name="Funding" sheetId="3" r:id="rId6"/>
    <sheet name="Start-up Investment" sheetId="4" r:id="rId7"/>
    <sheet name="Proforma P&amp;L Year 1" sheetId="5" r:id="rId8"/>
    <sheet name="Proforma P&amp;L Year 2" sheetId="6" r:id="rId9"/>
    <sheet name="Proforma P&amp;L Year 3" sheetId="7" r:id="rId10"/>
    <sheet name="Cash Flow Year 1" sheetId="8" r:id="rId11"/>
    <sheet name="Cash Flow Year 2" sheetId="9" r:id="rId12"/>
    <sheet name="Cash Flow Year 3" sheetId="10" r:id="rId13"/>
  </sheets>
</workbook>
</file>

<file path=xl/sharedStrings.xml><?xml version="1.0" encoding="utf-8"?>
<sst xmlns="http://schemas.openxmlformats.org/spreadsheetml/2006/main" uniqueCount="242">
  <si>
    <t>Bookstore Start-up Projections</t>
  </si>
  <si>
    <t>Fill in your project details in yellow highlighted areas</t>
  </si>
  <si>
    <t xml:space="preserve"> </t>
  </si>
  <si>
    <t>Store Hours</t>
  </si>
  <si>
    <t>10-7 Monday through Saturday</t>
  </si>
  <si>
    <t>11-6 Sunday</t>
  </si>
  <si>
    <t>Pre- &amp; Post-Shift (pre-shift meeting, post-shift clean-up)</t>
  </si>
  <si>
    <t>Total weekly bookseller payroll hours</t>
  </si>
  <si>
    <t>Payroll Projections</t>
  </si>
  <si>
    <t>Please add your state’s payroll taxes paid by employers</t>
  </si>
  <si>
    <t>Management</t>
  </si>
  <si>
    <t xml:space="preserve">Owner’s compensation, year 1 </t>
  </si>
  <si>
    <t>Booksellers</t>
  </si>
  <si>
    <t>Average hourly rate</t>
  </si>
  <si>
    <t>Annual payroll hours @ 1.5 people at all times x Average hourly rate</t>
  </si>
  <si>
    <t>Total Payroll Year 1</t>
  </si>
  <si>
    <t>Payroll after year 1 is based on industry average, staffing increases as sales increase</t>
  </si>
  <si>
    <t>Payroll Days per Year</t>
  </si>
  <si>
    <t>See bottom of program - adjust if you’ll be closed for holidays</t>
  </si>
  <si>
    <t>Space &amp; Occupancy</t>
  </si>
  <si>
    <t>Gross sf</t>
  </si>
  <si>
    <t>Square footage noted in rent, verified by on-site measurement by you</t>
  </si>
  <si>
    <t>% back room</t>
  </si>
  <si>
    <t>Back room sf</t>
  </si>
  <si>
    <t>Office, receiving, storage, rest rooms</t>
  </si>
  <si>
    <t>Selling Square Feet</t>
  </si>
  <si>
    <t>Abbreviated elsewhere ssf</t>
  </si>
  <si>
    <t>Annual Base Rent</t>
  </si>
  <si>
    <t>Monthly Base Rent</t>
  </si>
  <si>
    <t>Additional MonthlyFees</t>
  </si>
  <si>
    <t>Common Area Maintenance (CAM), promo fee, any extras to base rent</t>
  </si>
  <si>
    <t>Total Monthly Rent</t>
  </si>
  <si>
    <t>Annual Rent (all inclusive)</t>
  </si>
  <si>
    <t>Annual Rent/gross sf</t>
  </si>
  <si>
    <t>Sales Projections</t>
  </si>
  <si>
    <t xml:space="preserve">Use industry averages for both Inventory Turns &amp; Sales per ssf </t>
  </si>
  <si>
    <t>Inventory Turns</t>
  </si>
  <si>
    <t xml:space="preserve">Opening inventory at cost </t>
  </si>
  <si>
    <t>Retail value of inventory (@42% gross margin)</t>
  </si>
  <si>
    <t>Low</t>
  </si>
  <si>
    <t>Sales estimates based on 2 turns per year</t>
  </si>
  <si>
    <t>Middle</t>
  </si>
  <si>
    <t>Sales estimates based on 2.5 turns per year</t>
  </si>
  <si>
    <t>Industry Average</t>
  </si>
  <si>
    <t>Sales estimates based on 3.25 turns per year</t>
  </si>
  <si>
    <t>Sales per ssf</t>
  </si>
  <si>
    <t>$275-$400</t>
  </si>
  <si>
    <t>Industry Average (ABACUS Financial Survey of Independent Bookstores) for high profit bookstores</t>
  </si>
  <si>
    <t>Based on $275/ssf</t>
  </si>
  <si>
    <t>Based on $325/ssf</t>
  </si>
  <si>
    <t>Based on $375/ssf</t>
  </si>
  <si>
    <t>Best Practices</t>
  </si>
  <si>
    <t>Highly profitable stores can perform at $600 to $1,000/ssf</t>
  </si>
  <si>
    <t>COGS Projections</t>
  </si>
  <si>
    <t>Based on 18-20% non-book merchandise mix</t>
  </si>
  <si>
    <t>Slight improvement for better margins, improved buying</t>
  </si>
  <si>
    <t>High</t>
  </si>
  <si>
    <t>Start-up phase</t>
  </si>
  <si>
    <t>Marketing Expenses</t>
  </si>
  <si>
    <t>Aggressive marketing for start-up</t>
  </si>
  <si>
    <t>ABACUS Financial Survey of Independent Bookstores</t>
  </si>
  <si>
    <t xml:space="preserve">Produced annually by the </t>
  </si>
  <si>
    <t>American Booksellers Assoc.</t>
  </si>
  <si>
    <t xml:space="preserve"># Participating Stores: </t>
  </si>
  <si>
    <t>Higher Profit Stores</t>
  </si>
  <si>
    <t>Notes</t>
  </si>
  <si>
    <t># Stores</t>
  </si>
  <si>
    <t>%  of Participating Stores</t>
  </si>
  <si>
    <t>NET SALES</t>
  </si>
  <si>
    <t>Use Sales/ssf &amp; Inventory Turns for reasonable range</t>
  </si>
  <si>
    <t>New book sales</t>
  </si>
  <si>
    <t>Use &amp; bargain book sales</t>
  </si>
  <si>
    <t>Non-book sales</t>
  </si>
  <si>
    <t>Cost of Goods Sold (COGS)</t>
  </si>
  <si>
    <t>Use this or slightly higher number when you’re new</t>
  </si>
  <si>
    <t xml:space="preserve">GROSS PROFIT </t>
  </si>
  <si>
    <t>Subtract COGS from Net Sales</t>
  </si>
  <si>
    <t>OPERATING EXPENSES</t>
  </si>
  <si>
    <t>Owner’s compensation</t>
  </si>
  <si>
    <t>Wages &amp; salaries</t>
  </si>
  <si>
    <t>Estimate based on store hours &amp; pay rates</t>
  </si>
  <si>
    <t>Payroll taxes</t>
  </si>
  <si>
    <t>Employee benefits</t>
  </si>
  <si>
    <t>Payroll service</t>
  </si>
  <si>
    <t>Other payroll expense</t>
  </si>
  <si>
    <t>Total Compensation</t>
  </si>
  <si>
    <t>Rent</t>
  </si>
  <si>
    <t>Use local going rate for space</t>
  </si>
  <si>
    <t>Repairs &amp; maintenance</t>
  </si>
  <si>
    <t>Utilities</t>
  </si>
  <si>
    <t>Other occupancy costs</t>
  </si>
  <si>
    <t>Total Occupancy</t>
  </si>
  <si>
    <t>Other Operating Expenses</t>
  </si>
  <si>
    <t>Advertising &amp; promotions</t>
  </si>
  <si>
    <t>Use 2-3% for first 3 years to build business</t>
  </si>
  <si>
    <t>Telecommunications</t>
  </si>
  <si>
    <t>Use ABACUS or call provider</t>
  </si>
  <si>
    <t>Professional services</t>
  </si>
  <si>
    <t>Accountant, Lawyer, Consulting services</t>
  </si>
  <si>
    <t>Office expenses</t>
  </si>
  <si>
    <t xml:space="preserve">Use ABACUS  </t>
  </si>
  <si>
    <t>Depreciation</t>
  </si>
  <si>
    <t>See IRS schedule</t>
  </si>
  <si>
    <t>Travel &amp; entertainment</t>
  </si>
  <si>
    <t>Estimate what you’ll need</t>
  </si>
  <si>
    <t>Business insurance</t>
  </si>
  <si>
    <t>Call local agent</t>
  </si>
  <si>
    <t>Interest expense</t>
  </si>
  <si>
    <t>Use loan estimate</t>
  </si>
  <si>
    <t>Credit card services</t>
  </si>
  <si>
    <t>Dues &amp; subscriptions</t>
  </si>
  <si>
    <t>Freight out</t>
  </si>
  <si>
    <t>Misc. taxes</t>
  </si>
  <si>
    <t>Contact state &amp; local tax authorities</t>
  </si>
  <si>
    <t>Web expenses</t>
  </si>
  <si>
    <t>Data processing</t>
  </si>
  <si>
    <t>Other operating costs</t>
  </si>
  <si>
    <t>Use ABACUS</t>
  </si>
  <si>
    <t>Total Other Operating Costs</t>
  </si>
  <si>
    <t>TOTAL COSTS</t>
  </si>
  <si>
    <t>OPERATING INCOME</t>
  </si>
  <si>
    <t>Gross Profit less Expenses</t>
  </si>
  <si>
    <t>Less loan payments</t>
  </si>
  <si>
    <t>NET INCOME BEFORE TAXES</t>
  </si>
  <si>
    <t>Funding</t>
  </si>
  <si>
    <t>TOTAL PROJECT COST</t>
  </si>
  <si>
    <t>Less Landlord’s Contribution</t>
  </si>
  <si>
    <t>Build-out</t>
  </si>
  <si>
    <t>Plus Working Capital</t>
  </si>
  <si>
    <t>TOTAL FUNDING NEEDED</t>
  </si>
  <si>
    <t>Less Owner’s Investment</t>
  </si>
  <si>
    <t>Equals Loan Amount</t>
  </si>
  <si>
    <t>Loan Term (months)</t>
  </si>
  <si>
    <t>Cannot exceed term of lease</t>
  </si>
  <si>
    <t>Annual %</t>
  </si>
  <si>
    <r>
      <rPr>
        <sz val="12"/>
        <color indexed="8"/>
        <rFont val="Helvetica"/>
      </rPr>
      <t xml:space="preserve">Use </t>
    </r>
    <r>
      <rPr>
        <u val="single"/>
        <sz val="12"/>
        <color indexed="21"/>
        <rFont val="Helvetica"/>
      </rPr>
      <t>calculator.net</t>
    </r>
    <r>
      <rPr>
        <sz val="12"/>
        <color indexed="8"/>
        <rFont val="Helvetica"/>
      </rPr>
      <t xml:space="preserve"> or ask your banker</t>
    </r>
  </si>
  <si>
    <t>Monthly Loan Payment</t>
  </si>
  <si>
    <t>Bookstore Start-Up Investment</t>
  </si>
  <si>
    <t>Gross square footage</t>
  </si>
  <si>
    <t>EXPENSE</t>
  </si>
  <si>
    <t>Estimate</t>
  </si>
  <si>
    <t>Investment</t>
  </si>
  <si>
    <t>New flooring, paint, lighting upgrades, construction, fixture installation</t>
  </si>
  <si>
    <t>Fixtures per selling sq ft</t>
  </si>
  <si>
    <t>Manufactured bookstore fixtures</t>
  </si>
  <si>
    <t>Furniture</t>
  </si>
  <si>
    <t>Display tables, seating</t>
  </si>
  <si>
    <t>Signage</t>
  </si>
  <si>
    <t>Simple exterior sign or awning, interior section signs</t>
  </si>
  <si>
    <t>Computer System</t>
  </si>
  <si>
    <t>Equipment</t>
  </si>
  <si>
    <t>Stereo, safe, office copier/scanner</t>
  </si>
  <si>
    <t>Inventory</t>
  </si>
  <si>
    <t>Book &amp; non-book</t>
  </si>
  <si>
    <t>Display Accessories</t>
  </si>
  <si>
    <t>For merchandising tables, slat wall areas, counters</t>
  </si>
  <si>
    <t>Printed &amp; Office Supplies</t>
  </si>
  <si>
    <t>Bookmarks, bags, etc.</t>
  </si>
  <si>
    <t>Marketing &amp; PR</t>
  </si>
  <si>
    <t>Logo, ads, newspaper insertions, e-newsletter</t>
  </si>
  <si>
    <t>Payroll - Pre-opening</t>
  </si>
  <si>
    <t>Staff training, merchandising - Set-up for 1 week with 80 total hours @ $10/hour</t>
  </si>
  <si>
    <t>Professional Services</t>
  </si>
  <si>
    <t xml:space="preserve">  Attorney - Incorporation</t>
  </si>
  <si>
    <t xml:space="preserve">  Inventory Selection</t>
  </si>
  <si>
    <t>*</t>
  </si>
  <si>
    <t>$3.50/ssf</t>
  </si>
  <si>
    <t xml:space="preserve">  Store Design</t>
  </si>
  <si>
    <t>$3.50/sf</t>
  </si>
  <si>
    <t xml:space="preserve">  Merchandising/Training</t>
  </si>
  <si>
    <t>2 days on-site merchandising &amp; staff training</t>
  </si>
  <si>
    <t xml:space="preserve">  Other Consulting</t>
  </si>
  <si>
    <t>Licenses &amp; Fees</t>
  </si>
  <si>
    <t>Professional Development</t>
  </si>
  <si>
    <t xml:space="preserve">Paz workshop tuition &amp; travel expenses </t>
  </si>
  <si>
    <t>Dues &amp; Subscriptions</t>
  </si>
  <si>
    <t>ABA, regional booksellers assoc plus local organizations</t>
  </si>
  <si>
    <t>Cash Drawers &amp; Petty Cash</t>
  </si>
  <si>
    <t>Other-Deposits (rent/utility)</t>
  </si>
  <si>
    <t>Contingency</t>
  </si>
  <si>
    <t>TOTAL</t>
  </si>
  <si>
    <t>Per Selling Square Foot</t>
  </si>
  <si>
    <t>Based on fees for Paz services</t>
  </si>
  <si>
    <t>Proforma Income Statement</t>
  </si>
  <si>
    <t>Year 1</t>
  </si>
  <si>
    <t>Gross square feet</t>
  </si>
  <si>
    <t>Selling square feet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</si>
  <si>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</si>
  <si>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</si>
  <si>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</si>
  <si>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</si>
  <si>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</si>
  <si>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</si>
  <si>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</si>
  <si>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</si>
  <si>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</si>
  <si>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</si>
  <si>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</si>
  <si>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</si>
  <si>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</si>
  <si>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% of</t>
  </si>
  <si>
    <t>Average</t>
  </si>
  <si>
    <t>Sales</t>
  </si>
  <si>
    <t>SALES</t>
  </si>
  <si>
    <t>Low Sales/ssf</t>
  </si>
  <si>
    <t>Monthly % of Total</t>
  </si>
  <si>
    <t>COST OF GOODS SOLD</t>
  </si>
  <si>
    <t>OPERATING COSTS</t>
  </si>
  <si>
    <t>Salaries</t>
  </si>
  <si>
    <t>Other Occupancy</t>
  </si>
  <si>
    <t>Marketing</t>
  </si>
  <si>
    <t>Office</t>
  </si>
  <si>
    <t>Travel &amp; Entertainment</t>
  </si>
  <si>
    <t>Insurance</t>
  </si>
  <si>
    <t>Credit Card Services</t>
  </si>
  <si>
    <t>Misc. Taxes</t>
  </si>
  <si>
    <t>Website</t>
  </si>
  <si>
    <t>Other Operating</t>
  </si>
  <si>
    <t>TOTAL OPERATING COSTS</t>
  </si>
  <si>
    <t>Less Loan Repayment</t>
  </si>
  <si>
    <t>NET PROFIT</t>
  </si>
  <si>
    <t>* higher during start-up</t>
  </si>
  <si>
    <t>Payroll Days per Month</t>
  </si>
  <si>
    <t>% of Total Year</t>
  </si>
  <si>
    <t>Year 2</t>
  </si>
  <si>
    <t>Year 3</t>
  </si>
  <si>
    <t>Cash Flow Analysis</t>
  </si>
  <si>
    <t xml:space="preserve">  Automatically calculated &amp; carried forward to next year</t>
  </si>
  <si>
    <t>BEGINNING CASH</t>
  </si>
  <si>
    <t>PLUS SALES</t>
  </si>
  <si>
    <t>CASH AVAILABLE</t>
  </si>
  <si>
    <t>CASH OUT</t>
  </si>
  <si>
    <t>Cost of Goods</t>
  </si>
  <si>
    <t>Operating Costs</t>
  </si>
  <si>
    <t>TOTAL CASH OUT</t>
  </si>
  <si>
    <t xml:space="preserve">CASH FLOW </t>
  </si>
  <si>
    <t>NET CASH FLOW</t>
  </si>
  <si>
    <t>Cash Balance EOY</t>
  </si>
  <si>
    <t>Mid-Range Sales/ssf</t>
  </si>
  <si>
    <t xml:space="preserve"> Other Occupancy</t>
  </si>
  <si>
    <t>CASH FLOW</t>
  </si>
  <si>
    <t>Avg Sales/ssf</t>
  </si>
</sst>
</file>

<file path=xl/styles.xml><?xml version="1.0" encoding="utf-8"?>
<styleSheet xmlns="http://schemas.openxmlformats.org/spreadsheetml/2006/main">
  <numFmts count="9">
    <numFmt numFmtId="0" formatCode="General"/>
    <numFmt numFmtId="59" formatCode="&quot;$&quot;0"/>
    <numFmt numFmtId="60" formatCode="&quot;$&quot;#,##0"/>
    <numFmt numFmtId="61" formatCode="#,##0.0%"/>
    <numFmt numFmtId="62" formatCode="&quot;$&quot;#,##0.00"/>
    <numFmt numFmtId="63" formatCode="0.0%"/>
    <numFmt numFmtId="64" formatCode="#,##0%"/>
    <numFmt numFmtId="65" formatCode="#,##0.00%"/>
    <numFmt numFmtId="66" formatCode="0.000%"/>
  </numFmts>
  <fonts count="13">
    <font>
      <sz val="10"/>
      <color indexed="8"/>
      <name val="Helvetica"/>
    </font>
    <font>
      <sz val="12"/>
      <color indexed="8"/>
      <name val="Helvetica"/>
    </font>
    <font>
      <sz val="13"/>
      <color indexed="8"/>
      <name val="Helvetica"/>
    </font>
    <font>
      <b val="1"/>
      <sz val="12"/>
      <color indexed="8"/>
      <name val="Helvetica"/>
    </font>
    <font>
      <b val="1"/>
      <sz val="10"/>
      <color indexed="8"/>
      <name val="Helvetica"/>
    </font>
    <font>
      <b val="1"/>
      <sz val="12"/>
      <color indexed="8"/>
      <name val="Helvetica Neue"/>
    </font>
    <font>
      <sz val="10"/>
      <color indexed="8"/>
      <name val="Helvetica Neue"/>
    </font>
    <font>
      <i val="1"/>
      <sz val="10"/>
      <color indexed="8"/>
      <name val="Helvetica Neue"/>
    </font>
    <font>
      <b val="1"/>
      <sz val="10"/>
      <color indexed="8"/>
      <name val="Helvetica Neue"/>
    </font>
    <font>
      <b val="1"/>
      <u val="single"/>
      <sz val="10"/>
      <color indexed="8"/>
      <name val="Helvetica Neue"/>
    </font>
    <font>
      <u val="single"/>
      <sz val="12"/>
      <color indexed="21"/>
      <name val="Helvetica"/>
    </font>
    <font>
      <b val="1"/>
      <sz val="10"/>
      <color indexed="24"/>
      <name val="Helvetica Neue"/>
    </font>
    <font>
      <b val="1"/>
      <i val="1"/>
      <sz val="10"/>
      <color indexed="8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 style="thin">
        <color indexed="13"/>
      </right>
      <top/>
      <bottom/>
      <diagonal/>
    </border>
    <border>
      <left style="thin">
        <color indexed="10"/>
      </left>
      <right style="thin">
        <color indexed="14"/>
      </right>
      <top style="thin">
        <color indexed="14"/>
      </top>
      <bottom style="thin">
        <color indexed="10"/>
      </bottom>
      <diagonal/>
    </border>
    <border>
      <left style="thin">
        <color indexed="14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4"/>
      </right>
      <top style="thin">
        <color indexed="10"/>
      </top>
      <bottom style="thin">
        <color indexed="10"/>
      </bottom>
      <diagonal/>
    </border>
    <border>
      <left style="thin">
        <color indexed="1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/>
      <bottom style="thin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3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top" wrapText="1"/>
    </xf>
    <xf numFmtId="0" fontId="4" fillId="2" borderId="1" applyNumberFormat="0" applyFont="1" applyFill="1" applyBorder="1" applyAlignment="1" applyProtection="0">
      <alignment vertical="top" wrapText="1"/>
    </xf>
    <xf numFmtId="0" fontId="4" fillId="3" borderId="1" applyNumberFormat="0" applyFont="1" applyFill="1" applyBorder="1" applyAlignment="1" applyProtection="0">
      <alignment vertical="top" wrapText="1"/>
    </xf>
    <xf numFmtId="49" fontId="4" fillId="2" borderId="1" applyNumberFormat="1" applyFont="1" applyFill="1" applyBorder="1" applyAlignment="1" applyProtection="0">
      <alignment vertical="top" wrapText="1"/>
    </xf>
    <xf numFmtId="0" fontId="0" fillId="4" borderId="2" applyNumberFormat="0" applyFont="1" applyFill="1" applyBorder="1" applyAlignment="1" applyProtection="0">
      <alignment vertical="top" wrapText="1"/>
    </xf>
    <xf numFmtId="49" fontId="4" fillId="2" borderId="3" applyNumberFormat="1" applyFont="1" applyFill="1" applyBorder="1" applyAlignment="1" applyProtection="0">
      <alignment vertical="top" wrapText="1"/>
    </xf>
    <xf numFmtId="0" fontId="4" fillId="2" borderId="3" applyNumberFormat="0" applyFont="1" applyFill="1" applyBorder="1" applyAlignment="1" applyProtection="0">
      <alignment vertical="top" wrapText="1"/>
    </xf>
    <xf numFmtId="0" fontId="0" fillId="4" borderId="4" applyNumberFormat="0" applyFont="1" applyFill="1" applyBorder="1" applyAlignment="1" applyProtection="0">
      <alignment vertical="top" wrapText="1"/>
    </xf>
    <xf numFmtId="0" fontId="4" fillId="5" borderId="5" applyNumberFormat="0" applyFont="1" applyFill="1" applyBorder="1" applyAlignment="1" applyProtection="0">
      <alignment vertical="top" wrapText="1"/>
    </xf>
    <xf numFmtId="0" fontId="0" fillId="4" borderId="6" applyNumberFormat="0" applyFont="1" applyFill="1" applyBorder="1" applyAlignment="1" applyProtection="0">
      <alignment vertical="top" wrapText="1"/>
    </xf>
    <xf numFmtId="0" fontId="0" fillId="4" borderId="7" applyNumberFormat="0" applyFont="1" applyFill="1" applyBorder="1" applyAlignment="1" applyProtection="0">
      <alignment vertical="top" wrapText="1"/>
    </xf>
    <xf numFmtId="49" fontId="4" fillId="6" borderId="8" applyNumberFormat="1" applyFont="1" applyFill="1" applyBorder="1" applyAlignment="1" applyProtection="0">
      <alignment vertical="top" wrapText="1"/>
    </xf>
    <xf numFmtId="0" fontId="0" fillId="3" borderId="9" applyNumberFormat="1" applyFont="1" applyFill="1" applyBorder="1" applyAlignment="1" applyProtection="0">
      <alignment vertical="top" wrapText="1"/>
    </xf>
    <xf numFmtId="0" fontId="0" fillId="7" borderId="1" applyNumberFormat="0" applyFont="1" applyFill="1" applyBorder="1" applyAlignment="1" applyProtection="0">
      <alignment vertical="top" wrapText="1"/>
    </xf>
    <xf numFmtId="49" fontId="0" fillId="7" borderId="1" applyNumberFormat="1" applyFont="1" applyFill="1" applyBorder="1" applyAlignment="1" applyProtection="0">
      <alignment vertical="top" wrapText="1"/>
    </xf>
    <xf numFmtId="0" fontId="4" fillId="5" borderId="8" applyNumberFormat="0" applyFont="1" applyFill="1" applyBorder="1" applyAlignment="1" applyProtection="0">
      <alignment vertical="top" wrapText="1"/>
    </xf>
    <xf numFmtId="0" fontId="0" fillId="4" borderId="1" applyNumberFormat="0" applyFont="1" applyFill="1" applyBorder="1" applyAlignment="1" applyProtection="0">
      <alignment vertical="top" wrapText="1"/>
    </xf>
    <xf numFmtId="49" fontId="0" fillId="4" borderId="1" applyNumberFormat="1" applyFont="1" applyFill="1" applyBorder="1" applyAlignment="1" applyProtection="0">
      <alignment vertical="top" wrapText="1"/>
    </xf>
    <xf numFmtId="0" fontId="0" fillId="7" borderId="9" applyNumberFormat="0" applyFont="1" applyFill="1" applyBorder="1" applyAlignment="1" applyProtection="0">
      <alignment vertical="top" wrapText="1"/>
    </xf>
    <xf numFmtId="49" fontId="4" fillId="3" borderId="8" applyNumberFormat="1" applyFont="1" applyFill="1" applyBorder="1" applyAlignment="1" applyProtection="0">
      <alignment vertical="top" wrapText="1"/>
    </xf>
    <xf numFmtId="59" fontId="0" fillId="4" borderId="9" applyNumberFormat="1" applyFont="1" applyFill="1" applyBorder="1" applyAlignment="1" applyProtection="0">
      <alignment vertical="top" wrapText="1"/>
    </xf>
    <xf numFmtId="49" fontId="4" fillId="8" borderId="1" applyNumberFormat="1" applyFont="1" applyFill="1" applyBorder="1" applyAlignment="1" applyProtection="0">
      <alignment vertical="top" wrapText="1"/>
    </xf>
    <xf numFmtId="49" fontId="4" fillId="5" borderId="8" applyNumberFormat="1" applyFont="1" applyFill="1" applyBorder="1" applyAlignment="1" applyProtection="0">
      <alignment vertical="top" wrapText="1"/>
    </xf>
    <xf numFmtId="60" fontId="0" fillId="3" borderId="9" applyNumberFormat="1" applyFont="1" applyFill="1" applyBorder="1" applyAlignment="1" applyProtection="0">
      <alignment vertical="top" wrapText="1"/>
    </xf>
    <xf numFmtId="60" fontId="4" fillId="4" borderId="9" applyNumberFormat="1" applyFont="1" applyFill="1" applyBorder="1" applyAlignment="1" applyProtection="0">
      <alignment vertical="top" wrapText="1"/>
    </xf>
    <xf numFmtId="60" fontId="0" fillId="7" borderId="9" applyNumberFormat="1" applyFont="1" applyFill="1" applyBorder="1" applyAlignment="1" applyProtection="0">
      <alignment vertical="top" wrapText="1"/>
    </xf>
    <xf numFmtId="49" fontId="4" fillId="9" borderId="8" applyNumberFormat="1" applyFont="1" applyFill="1" applyBorder="1" applyAlignment="1" applyProtection="0">
      <alignment vertical="top" wrapText="1"/>
    </xf>
    <xf numFmtId="60" fontId="0" fillId="4" borderId="9" applyNumberFormat="1" applyFont="1" applyFill="1" applyBorder="1" applyAlignment="1" applyProtection="0">
      <alignment vertical="top" wrapText="1"/>
    </xf>
    <xf numFmtId="3" fontId="0" fillId="3" borderId="9" applyNumberFormat="1" applyFont="1" applyFill="1" applyBorder="1" applyAlignment="1" applyProtection="0">
      <alignment vertical="top" wrapText="1"/>
    </xf>
    <xf numFmtId="61" fontId="0" fillId="3" borderId="9" applyNumberFormat="1" applyFont="1" applyFill="1" applyBorder="1" applyAlignment="1" applyProtection="0">
      <alignment vertical="top" wrapText="1"/>
    </xf>
    <xf numFmtId="49" fontId="4" fillId="5" borderId="8" applyNumberFormat="1" applyFont="1" applyFill="1" applyBorder="1" applyAlignment="1" applyProtection="0">
      <alignment horizontal="right" vertical="top" wrapText="1"/>
    </xf>
    <xf numFmtId="3" fontId="0" fillId="4" borderId="9" applyNumberFormat="1" applyFont="1" applyFill="1" applyBorder="1" applyAlignment="1" applyProtection="0">
      <alignment vertical="top" wrapText="1"/>
    </xf>
    <xf numFmtId="62" fontId="0" fillId="7" borderId="9" applyNumberFormat="1" applyFont="1" applyFill="1" applyBorder="1" applyAlignment="1" applyProtection="0">
      <alignment vertical="top" wrapText="1"/>
    </xf>
    <xf numFmtId="49" fontId="4" fillId="10" borderId="8" applyNumberFormat="1" applyFont="1" applyFill="1" applyBorder="1" applyAlignment="1" applyProtection="0">
      <alignment vertical="top" wrapText="1"/>
    </xf>
    <xf numFmtId="49" fontId="4" fillId="4" borderId="8" applyNumberFormat="1" applyFont="1" applyFill="1" applyBorder="1" applyAlignment="1" applyProtection="0">
      <alignment vertical="top" wrapText="1"/>
    </xf>
    <xf numFmtId="49" fontId="0" fillId="4" borderId="9" applyNumberFormat="1" applyFont="1" applyFill="1" applyBorder="1" applyAlignment="1" applyProtection="0">
      <alignment horizontal="right" vertical="top" wrapText="1"/>
    </xf>
    <xf numFmtId="60" fontId="0" fillId="7" borderId="9" applyNumberFormat="1" applyFont="1" applyFill="1" applyBorder="1" applyAlignment="1" applyProtection="0">
      <alignment horizontal="right" vertical="top" wrapText="1"/>
    </xf>
    <xf numFmtId="59" fontId="0" fillId="3" borderId="1" applyNumberFormat="1" applyFont="1" applyFill="1" applyBorder="1" applyAlignment="1" applyProtection="0">
      <alignment vertical="top" wrapText="1"/>
    </xf>
    <xf numFmtId="59" fontId="0" fillId="7" borderId="1" applyNumberFormat="1" applyFont="1" applyFill="1" applyBorder="1" applyAlignment="1" applyProtection="0">
      <alignment vertical="top" wrapText="1"/>
    </xf>
    <xf numFmtId="59" fontId="0" fillId="4" borderId="1" applyNumberFormat="1" applyFont="1" applyFill="1" applyBorder="1" applyAlignment="1" applyProtection="0">
      <alignment vertical="top" wrapText="1"/>
    </xf>
    <xf numFmtId="63" fontId="0" fillId="3" borderId="1" applyNumberFormat="1" applyFont="1" applyFill="1" applyBorder="1" applyAlignment="1" applyProtection="0">
      <alignment vertical="top" wrapText="1"/>
    </xf>
    <xf numFmtId="63" fontId="0" fillId="4" borderId="1" applyNumberFormat="1" applyFont="1" applyFill="1" applyBorder="1" applyAlignment="1" applyProtection="0">
      <alignment vertical="top" wrapText="1"/>
    </xf>
    <xf numFmtId="63" fontId="0" fillId="7" borderId="1" applyNumberFormat="1" applyFont="1" applyFill="1" applyBorder="1" applyAlignment="1" applyProtection="0">
      <alignment vertical="top" wrapText="1"/>
    </xf>
    <xf numFmtId="0" fontId="0" fillId="4" borderId="10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5" fillId="2" borderId="3" applyNumberFormat="1" applyFont="1" applyFill="1" applyBorder="1" applyAlignment="1" applyProtection="0">
      <alignment vertical="top" wrapText="1"/>
    </xf>
    <xf numFmtId="0" fontId="6" fillId="2" borderId="3" applyNumberFormat="0" applyFont="1" applyFill="1" applyBorder="1" applyAlignment="1" applyProtection="0">
      <alignment horizontal="center" vertical="top" wrapText="1"/>
    </xf>
    <xf numFmtId="49" fontId="7" fillId="5" borderId="5" applyNumberFormat="1" applyFont="1" applyFill="1" applyBorder="1" applyAlignment="1" applyProtection="0">
      <alignment vertical="top" wrapText="1"/>
    </xf>
    <xf numFmtId="0" fontId="6" fillId="4" borderId="6" applyNumberFormat="0" applyFont="1" applyFill="1" applyBorder="1" applyAlignment="1" applyProtection="0">
      <alignment horizontal="center" vertical="top" wrapText="1"/>
    </xf>
    <xf numFmtId="0" fontId="6" fillId="4" borderId="7" applyNumberFormat="0" applyFont="1" applyFill="1" applyBorder="1" applyAlignment="1" applyProtection="0">
      <alignment horizontal="center" vertical="top" wrapText="1"/>
    </xf>
    <xf numFmtId="49" fontId="7" fillId="5" borderId="8" applyNumberFormat="1" applyFont="1" applyFill="1" applyBorder="1" applyAlignment="1" applyProtection="0">
      <alignment horizontal="left" vertical="top" wrapText="1"/>
    </xf>
    <xf numFmtId="0" fontId="6" fillId="7" borderId="9" applyNumberFormat="0" applyFont="1" applyFill="1" applyBorder="1" applyAlignment="1" applyProtection="0">
      <alignment horizontal="center" vertical="top" wrapText="1"/>
    </xf>
    <xf numFmtId="0" fontId="6" fillId="7" borderId="1" applyNumberFormat="0" applyFont="1" applyFill="1" applyBorder="1" applyAlignment="1" applyProtection="0">
      <alignment horizontal="center" vertical="top" wrapText="1"/>
    </xf>
    <xf numFmtId="49" fontId="6" fillId="5" borderId="8" applyNumberFormat="1" applyFont="1" applyFill="1" applyBorder="1" applyAlignment="1" applyProtection="0">
      <alignment horizontal="right" vertical="top" wrapText="1"/>
    </xf>
    <xf numFmtId="0" fontId="8" fillId="4" borderId="9" applyNumberFormat="1" applyFont="1" applyFill="1" applyBorder="1" applyAlignment="1" applyProtection="0">
      <alignment horizontal="center" vertical="top" wrapText="1"/>
    </xf>
    <xf numFmtId="0" fontId="6" fillId="4" borderId="1" applyNumberFormat="0" applyFont="1" applyFill="1" applyBorder="1" applyAlignment="1" applyProtection="0">
      <alignment horizontal="center" vertical="top" wrapText="1"/>
    </xf>
    <xf numFmtId="0" fontId="9" fillId="4" borderId="9" applyNumberFormat="0" applyFont="1" applyFill="1" applyBorder="1" applyAlignment="1" applyProtection="0">
      <alignment horizontal="center" vertical="top" wrapText="1"/>
    </xf>
    <xf numFmtId="49" fontId="9" fillId="4" borderId="1" applyNumberFormat="1" applyFont="1" applyFill="1" applyBorder="1" applyAlignment="1" applyProtection="0">
      <alignment horizontal="center" vertical="top" wrapText="1"/>
    </xf>
    <xf numFmtId="49" fontId="8" fillId="4" borderId="1" applyNumberFormat="1" applyFont="1" applyFill="1" applyBorder="1" applyAlignment="1" applyProtection="0">
      <alignment horizontal="center" vertical="top" wrapText="1"/>
    </xf>
    <xf numFmtId="0" fontId="6" fillId="7" borderId="1" applyNumberFormat="1" applyFont="1" applyFill="1" applyBorder="1" applyAlignment="1" applyProtection="0">
      <alignment horizontal="center" vertical="top" wrapText="1"/>
    </xf>
    <xf numFmtId="49" fontId="8" fillId="7" borderId="1" applyNumberFormat="1" applyFont="1" applyFill="1" applyBorder="1" applyAlignment="1" applyProtection="0">
      <alignment horizontal="center" vertical="top" wrapText="1"/>
    </xf>
    <xf numFmtId="9" fontId="6" fillId="4" borderId="9" applyNumberFormat="1" applyFont="1" applyFill="1" applyBorder="1" applyAlignment="1" applyProtection="0">
      <alignment horizontal="center" vertical="top" wrapText="1"/>
    </xf>
    <xf numFmtId="9" fontId="6" fillId="4" borderId="1" applyNumberFormat="1" applyFont="1" applyFill="1" applyBorder="1" applyAlignment="1" applyProtection="0">
      <alignment horizontal="center" vertical="top" wrapText="1"/>
    </xf>
    <xf numFmtId="49" fontId="8" fillId="5" borderId="8" applyNumberFormat="1" applyFont="1" applyFill="1" applyBorder="1" applyAlignment="1" applyProtection="0">
      <alignment vertical="top" wrapText="1"/>
    </xf>
    <xf numFmtId="64" fontId="8" fillId="4" borderId="9" applyNumberFormat="1" applyFont="1" applyFill="1" applyBorder="1" applyAlignment="1" applyProtection="0">
      <alignment horizontal="center" vertical="top" wrapText="1"/>
    </xf>
    <xf numFmtId="9" fontId="8" fillId="4" borderId="1" applyNumberFormat="1" applyFont="1" applyFill="1" applyBorder="1" applyAlignment="1" applyProtection="0">
      <alignment horizontal="center" vertical="top" wrapText="1"/>
    </xf>
    <xf numFmtId="61" fontId="6" fillId="7" borderId="9" applyNumberFormat="1" applyFont="1" applyFill="1" applyBorder="1" applyAlignment="1" applyProtection="0">
      <alignment horizontal="center" vertical="top" wrapText="1"/>
    </xf>
    <xf numFmtId="10" fontId="6" fillId="7" borderId="1" applyNumberFormat="1" applyFont="1" applyFill="1" applyBorder="1" applyAlignment="1" applyProtection="0">
      <alignment horizontal="center" vertical="top" wrapText="1"/>
    </xf>
    <xf numFmtId="61" fontId="6" fillId="4" borderId="9" applyNumberFormat="1" applyFont="1" applyFill="1" applyBorder="1" applyAlignment="1" applyProtection="0">
      <alignment horizontal="center" vertical="top" wrapText="1"/>
    </xf>
    <xf numFmtId="10" fontId="6" fillId="4" borderId="1" applyNumberFormat="1" applyFont="1" applyFill="1" applyBorder="1" applyAlignment="1" applyProtection="0">
      <alignment horizontal="center" vertical="top" wrapText="1"/>
    </xf>
    <xf numFmtId="61" fontId="8" fillId="4" borderId="9" applyNumberFormat="1" applyFont="1" applyFill="1" applyBorder="1" applyAlignment="1" applyProtection="0">
      <alignment horizontal="center" vertical="top" wrapText="1"/>
    </xf>
    <xf numFmtId="10" fontId="8" fillId="4" borderId="1" applyNumberFormat="1" applyFont="1" applyFill="1" applyBorder="1" applyAlignment="1" applyProtection="0">
      <alignment horizontal="center" vertical="top" wrapText="1"/>
    </xf>
    <xf numFmtId="61" fontId="8" fillId="7" borderId="9" applyNumberFormat="1" applyFont="1" applyFill="1" applyBorder="1" applyAlignment="1" applyProtection="0">
      <alignment horizontal="center" vertical="top" wrapText="1"/>
    </xf>
    <xf numFmtId="65" fontId="8" fillId="7" borderId="1" applyNumberFormat="1" applyFont="1" applyFill="1" applyBorder="1" applyAlignment="1" applyProtection="0">
      <alignment horizontal="center" vertical="top" wrapText="1"/>
    </xf>
    <xf numFmtId="65" fontId="6" fillId="4" borderId="9" applyNumberFormat="1" applyFont="1" applyFill="1" applyBorder="1" applyAlignment="1" applyProtection="0">
      <alignment horizontal="center" vertical="top" wrapText="1"/>
    </xf>
    <xf numFmtId="65" fontId="6" fillId="7" borderId="9" applyNumberFormat="1" applyFont="1" applyFill="1" applyBorder="1" applyAlignment="1" applyProtection="0">
      <alignment horizontal="center" vertical="top" wrapText="1"/>
    </xf>
    <xf numFmtId="65" fontId="8" fillId="4" borderId="9" applyNumberFormat="1" applyFont="1" applyFill="1" applyBorder="1" applyAlignment="1" applyProtection="0">
      <alignment horizontal="center" vertical="top" wrapText="1"/>
    </xf>
    <xf numFmtId="65" fontId="8" fillId="4" borderId="1" applyNumberFormat="1" applyFont="1" applyFill="1" applyBorder="1" applyAlignment="1" applyProtection="0">
      <alignment horizontal="center" vertical="top" wrapText="1"/>
    </xf>
    <xf numFmtId="49" fontId="8" fillId="5" borderId="8" applyNumberFormat="1" applyFont="1" applyFill="1" applyBorder="1" applyAlignment="1" applyProtection="0">
      <alignment horizontal="left" vertical="top" wrapText="1"/>
    </xf>
    <xf numFmtId="65" fontId="8" fillId="7" borderId="9" applyNumberFormat="1" applyFont="1" applyFill="1" applyBorder="1" applyAlignment="1" applyProtection="0">
      <alignment horizontal="center" vertical="top" wrapText="1"/>
    </xf>
    <xf numFmtId="49" fontId="6" fillId="4" borderId="1" applyNumberFormat="1" applyFont="1" applyFill="1" applyBorder="1" applyAlignment="1" applyProtection="0">
      <alignment vertical="top" wrapText="1"/>
    </xf>
    <xf numFmtId="49" fontId="6" fillId="7" borderId="1" applyNumberFormat="1" applyFont="1" applyFill="1" applyBorder="1" applyAlignment="1" applyProtection="0">
      <alignment vertical="top" wrapText="1"/>
    </xf>
    <xf numFmtId="65" fontId="6" fillId="7" borderId="1" applyNumberFormat="1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3" applyNumberFormat="1" applyFont="1" applyFill="1" applyBorder="1" applyAlignment="1" applyProtection="0">
      <alignment vertical="top" wrapText="1"/>
    </xf>
    <xf numFmtId="0" fontId="3" fillId="5" borderId="8" applyNumberFormat="0" applyFont="1" applyFill="1" applyBorder="1" applyAlignment="1" applyProtection="0">
      <alignment vertical="top" wrapText="1"/>
    </xf>
    <xf numFmtId="49" fontId="3" fillId="7" borderId="9" applyNumberFormat="1" applyFont="1" applyFill="1" applyBorder="1" applyAlignment="1" applyProtection="0">
      <alignment horizontal="center" vertical="top" wrapText="1"/>
    </xf>
    <xf numFmtId="49" fontId="3" fillId="7" borderId="1" applyNumberFormat="1" applyFont="1" applyFill="1" applyBorder="1" applyAlignment="1" applyProtection="0">
      <alignment horizontal="center" vertical="top" wrapText="1"/>
    </xf>
    <xf numFmtId="49" fontId="3" fillId="5" borderId="8" applyNumberFormat="1" applyFont="1" applyFill="1" applyBorder="1" applyAlignment="1" applyProtection="0">
      <alignment vertical="top" wrapText="1"/>
    </xf>
    <xf numFmtId="60" fontId="1" fillId="4" borderId="9" applyNumberFormat="1" applyFont="1" applyFill="1" applyBorder="1" applyAlignment="1" applyProtection="0">
      <alignment vertical="top" wrapText="1"/>
    </xf>
    <xf numFmtId="49" fontId="1" fillId="4" borderId="1" applyNumberFormat="1" applyFont="1" applyFill="1" applyBorder="1" applyAlignment="1" applyProtection="0">
      <alignment vertical="top" wrapText="1"/>
    </xf>
    <xf numFmtId="60" fontId="1" fillId="3" borderId="9" applyNumberFormat="1" applyFont="1" applyFill="1" applyBorder="1" applyAlignment="1" applyProtection="0">
      <alignment vertical="top" wrapText="1"/>
    </xf>
    <xf numFmtId="49" fontId="1" fillId="7" borderId="1" applyNumberFormat="1" applyFont="1" applyFill="1" applyBorder="1" applyAlignment="1" applyProtection="0">
      <alignment vertical="top" wrapText="1"/>
    </xf>
    <xf numFmtId="60" fontId="1" fillId="4" borderId="1" applyNumberFormat="1" applyFont="1" applyFill="1" applyBorder="1" applyAlignment="1" applyProtection="0">
      <alignment vertical="top" wrapText="1"/>
    </xf>
    <xf numFmtId="49" fontId="3" fillId="5" borderId="8" applyNumberFormat="1" applyFont="1" applyFill="1" applyBorder="1" applyAlignment="1" applyProtection="0">
      <alignment horizontal="right" vertical="top" wrapText="1"/>
    </xf>
    <xf numFmtId="60" fontId="3" fillId="7" borderId="9" applyNumberFormat="1" applyFont="1" applyFill="1" applyBorder="1" applyAlignment="1" applyProtection="0">
      <alignment vertical="top" wrapText="1"/>
    </xf>
    <xf numFmtId="49" fontId="3" fillId="7" borderId="1" applyNumberFormat="1" applyFont="1" applyFill="1" applyBorder="1" applyAlignment="1" applyProtection="0">
      <alignment vertical="top" wrapText="1"/>
    </xf>
    <xf numFmtId="60" fontId="3" fillId="3" borderId="9" applyNumberFormat="1" applyFont="1" applyFill="1" applyBorder="1" applyAlignment="1" applyProtection="0">
      <alignment vertical="top" wrapText="1"/>
    </xf>
    <xf numFmtId="60" fontId="1" fillId="7" borderId="1" applyNumberFormat="1" applyFont="1" applyFill="1" applyBorder="1" applyAlignment="1" applyProtection="0">
      <alignment vertical="top" wrapText="1"/>
    </xf>
    <xf numFmtId="49" fontId="1" fillId="4" borderId="9" applyNumberFormat="1" applyFont="1" applyFill="1" applyBorder="1" applyAlignment="1" applyProtection="0">
      <alignment vertical="top" wrapText="1"/>
    </xf>
    <xf numFmtId="49" fontId="1" fillId="3" borderId="9" applyNumberFormat="1" applyFont="1" applyFill="1" applyBorder="1" applyAlignment="1" applyProtection="0">
      <alignment vertical="top" wrapText="1"/>
    </xf>
    <xf numFmtId="64" fontId="1" fillId="3" borderId="9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5" fillId="2" borderId="3" applyNumberFormat="1" applyFont="1" applyFill="1" applyBorder="1" applyAlignment="1" applyProtection="0">
      <alignment horizontal="left" vertical="top" wrapText="1"/>
    </xf>
    <xf numFmtId="0" fontId="4" fillId="4" borderId="3" applyNumberFormat="0" applyFont="1" applyFill="1" applyBorder="1" applyAlignment="1" applyProtection="0">
      <alignment vertical="top" wrapText="1"/>
    </xf>
    <xf numFmtId="0" fontId="8" fillId="5" borderId="5" applyNumberFormat="0" applyFont="1" applyFill="1" applyBorder="1" applyAlignment="1" applyProtection="0">
      <alignment horizontal="right" vertical="top" wrapText="1"/>
    </xf>
    <xf numFmtId="0" fontId="8" fillId="4" borderId="7" applyNumberFormat="0" applyFont="1" applyFill="1" applyBorder="1" applyAlignment="1" applyProtection="0">
      <alignment horizontal="center" vertical="top" wrapText="1"/>
    </xf>
    <xf numFmtId="0" fontId="9" fillId="4" borderId="7" applyNumberFormat="0" applyFont="1" applyFill="1" applyBorder="1" applyAlignment="1" applyProtection="0">
      <alignment horizontal="center" vertical="top" wrapText="1"/>
    </xf>
    <xf numFmtId="0" fontId="9" fillId="4" borderId="7" applyNumberFormat="0" applyFont="1" applyFill="1" applyBorder="1" applyAlignment="1" applyProtection="0">
      <alignment horizontal="left" vertical="top" wrapText="1"/>
    </xf>
    <xf numFmtId="49" fontId="8" fillId="5" borderId="8" applyNumberFormat="1" applyFont="1" applyFill="1" applyBorder="1" applyAlignment="1" applyProtection="0">
      <alignment horizontal="right" vertical="top" wrapText="1"/>
    </xf>
    <xf numFmtId="3" fontId="8" fillId="3" borderId="1" applyNumberFormat="1" applyFont="1" applyFill="1" applyBorder="1" applyAlignment="1" applyProtection="0">
      <alignment horizontal="center" vertical="top"/>
    </xf>
    <xf numFmtId="0" fontId="9" fillId="7" borderId="1" applyNumberFormat="0" applyFont="1" applyFill="1" applyBorder="1" applyAlignment="1" applyProtection="0">
      <alignment horizontal="center" vertical="top" wrapText="1"/>
    </xf>
    <xf numFmtId="49" fontId="6" fillId="7" borderId="1" applyNumberFormat="1" applyFont="1" applyFill="1" applyBorder="1" applyAlignment="1" applyProtection="0">
      <alignment horizontal="left" vertical="top" wrapText="1"/>
    </xf>
    <xf numFmtId="0" fontId="0" fillId="4" borderId="9" applyNumberFormat="0" applyFont="1" applyFill="1" applyBorder="1" applyAlignment="1" applyProtection="0">
      <alignment vertical="top" wrapText="1"/>
    </xf>
    <xf numFmtId="0" fontId="9" fillId="4" borderId="1" applyNumberFormat="0" applyFont="1" applyFill="1" applyBorder="1" applyAlignment="1" applyProtection="0">
      <alignment horizontal="center" vertical="top" wrapText="1"/>
    </xf>
    <xf numFmtId="0" fontId="9" fillId="5" borderId="8" applyNumberFormat="0" applyFont="1" applyFill="1" applyBorder="1" applyAlignment="1" applyProtection="0">
      <alignment horizontal="left" vertical="top" wrapText="1"/>
    </xf>
    <xf numFmtId="49" fontId="9" fillId="5" borderId="8" applyNumberFormat="1" applyFont="1" applyFill="1" applyBorder="1" applyAlignment="1" applyProtection="0">
      <alignment horizontal="left" vertical="top" wrapText="1"/>
    </xf>
    <xf numFmtId="49" fontId="9" fillId="4" borderId="1" applyNumberFormat="1" applyFont="1" applyFill="1" applyBorder="1" applyAlignment="1" applyProtection="0">
      <alignment horizontal="left" vertical="top" wrapText="1"/>
    </xf>
    <xf numFmtId="60" fontId="6" fillId="7" borderId="1" applyNumberFormat="1" applyFont="1" applyFill="1" applyBorder="1" applyAlignment="1" applyProtection="0">
      <alignment horizontal="center" vertical="top" wrapText="1"/>
    </xf>
    <xf numFmtId="60" fontId="0" fillId="7" borderId="1" applyNumberFormat="1" applyFont="1" applyFill="1" applyBorder="1" applyAlignment="1" applyProtection="0">
      <alignment vertical="top" wrapText="1"/>
    </xf>
    <xf numFmtId="60" fontId="0" fillId="3" borderId="1" applyNumberFormat="1" applyFont="1" applyFill="1" applyBorder="1" applyAlignment="1" applyProtection="0">
      <alignment vertical="top"/>
    </xf>
    <xf numFmtId="60" fontId="6" fillId="3" borderId="1" applyNumberFormat="1" applyFont="1" applyFill="1" applyBorder="1" applyAlignment="1" applyProtection="0">
      <alignment horizontal="center" vertical="top" wrapText="1"/>
    </xf>
    <xf numFmtId="60" fontId="0" fillId="4" borderId="1" applyNumberFormat="1" applyFont="1" applyFill="1" applyBorder="1" applyAlignment="1" applyProtection="0">
      <alignment vertical="top" wrapText="1"/>
    </xf>
    <xf numFmtId="60" fontId="0" fillId="4" borderId="1" applyNumberFormat="1" applyFont="1" applyFill="1" applyBorder="1" applyAlignment="1" applyProtection="0">
      <alignment vertical="top"/>
    </xf>
    <xf numFmtId="49" fontId="0" fillId="3" borderId="1" applyNumberFormat="1" applyFont="1" applyFill="1" applyBorder="1" applyAlignment="1" applyProtection="0">
      <alignment vertical="top"/>
    </xf>
    <xf numFmtId="60" fontId="6" fillId="4" borderId="1" applyNumberFormat="1" applyFont="1" applyFill="1" applyBorder="1" applyAlignment="1" applyProtection="0">
      <alignment horizontal="center" vertical="top" wrapText="1"/>
    </xf>
    <xf numFmtId="49" fontId="0" fillId="7" borderId="1" applyNumberFormat="1" applyFont="1" applyFill="1" applyBorder="1" applyAlignment="1" applyProtection="0">
      <alignment vertical="top"/>
    </xf>
    <xf numFmtId="62" fontId="6" fillId="3" borderId="1" applyNumberFormat="1" applyFont="1" applyFill="1" applyBorder="1" applyAlignment="1" applyProtection="0">
      <alignment horizontal="center" vertical="top" wrapText="1"/>
    </xf>
    <xf numFmtId="60" fontId="0" fillId="7" borderId="1" applyNumberFormat="1" applyFont="1" applyFill="1" applyBorder="1" applyAlignment="1" applyProtection="0">
      <alignment vertical="top"/>
    </xf>
    <xf numFmtId="49" fontId="0" fillId="3" borderId="1" applyNumberFormat="1" applyFont="1" applyFill="1" applyBorder="1" applyAlignment="1" applyProtection="0">
      <alignment vertical="top" wrapText="1"/>
    </xf>
    <xf numFmtId="0" fontId="8" fillId="7" borderId="1" applyNumberFormat="0" applyFont="1" applyFill="1" applyBorder="1" applyAlignment="1" applyProtection="0">
      <alignment horizontal="center" vertical="top" wrapText="1"/>
    </xf>
    <xf numFmtId="0" fontId="8" fillId="7" borderId="1" applyNumberFormat="0" applyFont="1" applyFill="1" applyBorder="1" applyAlignment="1" applyProtection="0">
      <alignment vertical="top" wrapText="1"/>
    </xf>
    <xf numFmtId="60" fontId="8" fillId="7" borderId="1" applyNumberFormat="1" applyFont="1" applyFill="1" applyBorder="1" applyAlignment="1" applyProtection="0">
      <alignment vertical="top" wrapText="1"/>
    </xf>
    <xf numFmtId="62" fontId="8" fillId="4" borderId="1" applyNumberFormat="1" applyFont="1" applyFill="1" applyBorder="1" applyAlignment="1" applyProtection="0">
      <alignment vertical="top" wrapText="1"/>
    </xf>
    <xf numFmtId="0" fontId="8" fillId="5" borderId="8" applyNumberFormat="0" applyFont="1" applyFill="1" applyBorder="1" applyAlignment="1" applyProtection="0">
      <alignment horizontal="right" vertical="top" wrapText="1"/>
    </xf>
    <xf numFmtId="0" fontId="8" fillId="4" borderId="1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5" fillId="11" borderId="11" applyNumberFormat="1" applyFont="1" applyFill="1" applyBorder="1" applyAlignment="1" applyProtection="0">
      <alignment horizontal="left" vertical="top" wrapText="1"/>
    </xf>
    <xf numFmtId="0" fontId="8" fillId="11" borderId="11" applyNumberFormat="0" applyFont="1" applyFill="1" applyBorder="1" applyAlignment="1" applyProtection="0">
      <alignment horizontal="center" vertical="top" wrapText="1"/>
    </xf>
    <xf numFmtId="0" fontId="8" fillId="11" borderId="11" applyNumberFormat="0" applyFont="1" applyFill="1" applyBorder="1" applyAlignment="1" applyProtection="0">
      <alignment horizontal="right" vertical="top" wrapText="1"/>
    </xf>
    <xf numFmtId="49" fontId="5" fillId="4" borderId="11" applyNumberFormat="1" applyFont="1" applyFill="1" applyBorder="1" applyAlignment="1" applyProtection="0">
      <alignment horizontal="left" vertical="top" wrapText="1"/>
    </xf>
    <xf numFmtId="49" fontId="8" fillId="4" borderId="11" applyNumberFormat="1" applyFont="1" applyFill="1" applyBorder="1" applyAlignment="1" applyProtection="0">
      <alignment vertical="top"/>
    </xf>
    <xf numFmtId="0" fontId="6" fillId="4" borderId="11" applyNumberFormat="0" applyFont="1" applyFill="1" applyBorder="1" applyAlignment="1" applyProtection="0">
      <alignment vertical="top"/>
    </xf>
    <xf numFmtId="0" fontId="6" fillId="4" borderId="11" applyNumberFormat="0" applyFont="1" applyFill="1" applyBorder="1" applyAlignment="1" applyProtection="0">
      <alignment horizontal="right" vertical="top"/>
    </xf>
    <xf numFmtId="49" fontId="6" fillId="4" borderId="11" applyNumberFormat="1" applyFont="1" applyFill="1" applyBorder="1" applyAlignment="1" applyProtection="0">
      <alignment horizontal="right" vertical="top"/>
    </xf>
    <xf numFmtId="49" fontId="6" fillId="4" borderId="11" applyNumberFormat="1" applyFont="1" applyFill="1" applyBorder="1" applyAlignment="1" applyProtection="0">
      <alignment horizontal="left" vertical="top"/>
    </xf>
    <xf numFmtId="49" fontId="8" fillId="11" borderId="11" applyNumberFormat="1" applyFont="1" applyFill="1" applyBorder="1" applyAlignment="1" applyProtection="0">
      <alignment horizontal="right" vertical="top" wrapText="1"/>
    </xf>
    <xf numFmtId="49" fontId="8" fillId="4" borderId="11" applyNumberFormat="1" applyFont="1" applyFill="1" applyBorder="1" applyAlignment="1" applyProtection="0">
      <alignment horizontal="right" vertical="top" wrapText="1"/>
    </xf>
    <xf numFmtId="3" fontId="6" fillId="4" borderId="11" applyNumberFormat="1" applyFont="1" applyFill="1" applyBorder="1" applyAlignment="1" applyProtection="0">
      <alignment vertical="top"/>
    </xf>
    <xf numFmtId="3" fontId="8" fillId="4" borderId="11" applyNumberFormat="1" applyFont="1" applyFill="1" applyBorder="1" applyAlignment="1" applyProtection="0">
      <alignment vertical="top"/>
    </xf>
    <xf numFmtId="9" fontId="6" fillId="4" borderId="11" applyNumberFormat="1" applyFont="1" applyFill="1" applyBorder="1" applyAlignment="1" applyProtection="0">
      <alignment vertical="top"/>
    </xf>
    <xf numFmtId="0" fontId="8" fillId="11" borderId="11" applyNumberFormat="0" applyFont="1" applyFill="1" applyBorder="1" applyAlignment="1" applyProtection="0">
      <alignment horizontal="left" vertical="top" wrapText="1"/>
    </xf>
    <xf numFmtId="49" fontId="11" fillId="4" borderId="11" applyNumberFormat="1" applyFont="1" applyFill="1" applyBorder="1" applyAlignment="1" applyProtection="0">
      <alignment vertical="top"/>
    </xf>
    <xf numFmtId="49" fontId="8" fillId="4" borderId="11" applyNumberFormat="1" applyFont="1" applyFill="1" applyBorder="1" applyAlignment="1" applyProtection="0">
      <alignment horizontal="center" vertical="top"/>
    </xf>
    <xf numFmtId="0" fontId="9" fillId="4" borderId="11" applyNumberFormat="0" applyFont="1" applyFill="1" applyBorder="1" applyAlignment="1" applyProtection="0">
      <alignment horizontal="center" vertical="top"/>
    </xf>
    <xf numFmtId="49" fontId="9" fillId="4" borderId="11" applyNumberFormat="1" applyFont="1" applyFill="1" applyBorder="1" applyAlignment="1" applyProtection="0">
      <alignment horizontal="center" vertical="top"/>
    </xf>
    <xf numFmtId="0" fontId="9" fillId="4" borderId="11" applyNumberFormat="0" applyFont="1" applyFill="1" applyBorder="1" applyAlignment="1" applyProtection="0">
      <alignment vertical="top"/>
    </xf>
    <xf numFmtId="60" fontId="6" fillId="4" borderId="11" applyNumberFormat="1" applyFont="1" applyFill="1" applyBorder="1" applyAlignment="1" applyProtection="0">
      <alignment vertical="top"/>
    </xf>
    <xf numFmtId="49" fontId="8" fillId="11" borderId="11" applyNumberFormat="1" applyFont="1" applyFill="1" applyBorder="1" applyAlignment="1" applyProtection="0">
      <alignment horizontal="left" vertical="top" wrapText="1"/>
    </xf>
    <xf numFmtId="60" fontId="6" fillId="4" borderId="11" applyNumberFormat="1" applyFont="1" applyFill="1" applyBorder="1" applyAlignment="1" applyProtection="0">
      <alignment horizontal="right" vertical="top"/>
    </xf>
    <xf numFmtId="60" fontId="8" fillId="4" borderId="11" applyNumberFormat="1" applyFont="1" applyFill="1" applyBorder="1" applyAlignment="1" applyProtection="0">
      <alignment vertical="top"/>
    </xf>
    <xf numFmtId="64" fontId="6" fillId="4" borderId="11" applyNumberFormat="1" applyFont="1" applyFill="1" applyBorder="1" applyAlignment="1" applyProtection="0">
      <alignment vertical="top"/>
    </xf>
    <xf numFmtId="65" fontId="6" fillId="4" borderId="11" applyNumberFormat="1" applyFont="1" applyFill="1" applyBorder="1" applyAlignment="1" applyProtection="0">
      <alignment vertical="top"/>
    </xf>
    <xf numFmtId="65" fontId="6" fillId="4" borderId="11" applyNumberFormat="1" applyFont="1" applyFill="1" applyBorder="1" applyAlignment="1" applyProtection="0">
      <alignment horizontal="right" vertical="top"/>
    </xf>
    <xf numFmtId="64" fontId="6" fillId="4" borderId="11" applyNumberFormat="1" applyFont="1" applyFill="1" applyBorder="1" applyAlignment="1" applyProtection="0">
      <alignment horizontal="right" vertical="top"/>
    </xf>
    <xf numFmtId="49" fontId="6" fillId="4" borderId="11" applyNumberFormat="1" applyFont="1" applyFill="1" applyBorder="1" applyAlignment="1" applyProtection="0">
      <alignment vertical="top"/>
    </xf>
    <xf numFmtId="49" fontId="7" fillId="4" borderId="11" applyNumberFormat="1" applyFont="1" applyFill="1" applyBorder="1" applyAlignment="1" applyProtection="0">
      <alignment horizontal="center" vertical="top"/>
    </xf>
    <xf numFmtId="49" fontId="7" fillId="11" borderId="11" applyNumberFormat="1" applyFont="1" applyFill="1" applyBorder="1" applyAlignment="1" applyProtection="0">
      <alignment horizontal="justify" vertical="top" wrapText="1"/>
    </xf>
    <xf numFmtId="49" fontId="8" fillId="4" borderId="11" applyNumberFormat="1" applyFont="1" applyFill="1" applyBorder="1" applyAlignment="1" applyProtection="0">
      <alignment horizontal="left" vertical="top" wrapText="1"/>
    </xf>
    <xf numFmtId="0" fontId="8" fillId="4" borderId="11" applyNumberFormat="0" applyFont="1" applyFill="1" applyBorder="1" applyAlignment="1" applyProtection="0">
      <alignment vertical="top"/>
    </xf>
    <xf numFmtId="60" fontId="8" fillId="4" borderId="11" applyNumberFormat="1" applyFont="1" applyFill="1" applyBorder="1" applyAlignment="1" applyProtection="0">
      <alignment horizontal="right" vertical="top"/>
    </xf>
    <xf numFmtId="65" fontId="8" fillId="4" borderId="11" applyNumberFormat="1" applyFont="1" applyFill="1" applyBorder="1" applyAlignment="1" applyProtection="0">
      <alignment horizontal="right" vertical="top"/>
    </xf>
    <xf numFmtId="10" fontId="8" fillId="4" borderId="11" applyNumberFormat="1" applyFont="1" applyFill="1" applyBorder="1" applyAlignment="1" applyProtection="0">
      <alignment horizontal="right" vertical="top"/>
    </xf>
    <xf numFmtId="0" fontId="6" fillId="4" borderId="11" applyNumberFormat="1" applyFont="1" applyFill="1" applyBorder="1" applyAlignment="1" applyProtection="0">
      <alignment horizontal="right" vertical="top"/>
    </xf>
    <xf numFmtId="66" fontId="6" fillId="4" borderId="11" applyNumberFormat="1" applyFont="1" applyFill="1" applyBorder="1" applyAlignment="1" applyProtection="0">
      <alignment horizontal="right" vertical="top"/>
    </xf>
    <xf numFmtId="9" fontId="6" fillId="4" borderId="11" applyNumberFormat="1" applyFont="1" applyFill="1" applyBorder="1" applyAlignment="1" applyProtection="0">
      <alignment horizontal="right" vertical="top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6" fillId="6" borderId="11" applyNumberFormat="0" applyFont="1" applyFill="1" applyBorder="1" applyAlignment="1" applyProtection="0">
      <alignment horizontal="right" vertical="top"/>
    </xf>
    <xf numFmtId="49" fontId="8" fillId="3" borderId="11" applyNumberFormat="1" applyFont="1" applyFill="1" applyBorder="1" applyAlignment="1" applyProtection="0">
      <alignment horizontal="left" vertical="top" wrapText="1"/>
    </xf>
    <xf numFmtId="60" fontId="6" fillId="3" borderId="11" applyNumberFormat="1" applyFont="1" applyFill="1" applyBorder="1" applyAlignment="1" applyProtection="0">
      <alignment vertical="top"/>
    </xf>
    <xf numFmtId="60" fontId="8" fillId="4" borderId="11" applyNumberFormat="1" applyFont="1" applyFill="1" applyBorder="1" applyAlignment="1" applyProtection="0">
      <alignment horizontal="center" vertical="top"/>
    </xf>
    <xf numFmtId="0" fontId="8" fillId="4" borderId="11" applyNumberFormat="0" applyFont="1" applyFill="1" applyBorder="1" applyAlignment="1" applyProtection="0">
      <alignment horizontal="center" vertical="top"/>
    </xf>
    <xf numFmtId="49" fontId="12" fillId="11" borderId="11" applyNumberFormat="1" applyFont="1" applyFill="1" applyBorder="1" applyAlignment="1" applyProtection="0">
      <alignment horizontal="left" vertical="top" wrapText="1"/>
    </xf>
    <xf numFmtId="60" fontId="8" fillId="6" borderId="11" applyNumberFormat="1" applyFont="1" applyFill="1" applyBorder="1" applyAlignment="1" applyProtection="0">
      <alignment horizontal="right" vertical="top"/>
    </xf>
    <xf numFmtId="0" fontId="0" applyNumberFormat="1" applyFont="1" applyFill="0" applyBorder="0" applyAlignment="1" applyProtection="0">
      <alignment vertical="top" wrapText="1"/>
    </xf>
    <xf numFmtId="0" fontId="8" fillId="2" borderId="3" applyNumberFormat="0" applyFont="1" applyFill="1" applyBorder="1" applyAlignment="1" applyProtection="0">
      <alignment horizontal="right" vertical="top" wrapText="1"/>
    </xf>
    <xf numFmtId="49" fontId="5" fillId="4" borderId="5" applyNumberFormat="1" applyFont="1" applyFill="1" applyBorder="1" applyAlignment="1" applyProtection="0">
      <alignment horizontal="left" vertical="top" wrapText="1"/>
    </xf>
    <xf numFmtId="49" fontId="8" fillId="4" borderId="6" applyNumberFormat="1" applyFont="1" applyFill="1" applyBorder="1" applyAlignment="1" applyProtection="0">
      <alignment vertical="top" wrapText="1"/>
    </xf>
    <xf numFmtId="0" fontId="6" fillId="4" borderId="7" applyNumberFormat="0" applyFont="1" applyFill="1" applyBorder="1" applyAlignment="1" applyProtection="0">
      <alignment horizontal="right" vertical="top" wrapText="1"/>
    </xf>
    <xf numFmtId="49" fontId="6" fillId="4" borderId="7" applyNumberFormat="1" applyFont="1" applyFill="1" applyBorder="1" applyAlignment="1" applyProtection="0">
      <alignment horizontal="right" vertical="top"/>
    </xf>
    <xf numFmtId="49" fontId="6" fillId="4" borderId="7" applyNumberFormat="1" applyFont="1" applyFill="1" applyBorder="1" applyAlignment="1" applyProtection="0">
      <alignment horizontal="left" vertical="top" wrapText="1"/>
    </xf>
    <xf numFmtId="0" fontId="6" fillId="7" borderId="1" applyNumberFormat="0" applyFont="1" applyFill="1" applyBorder="1" applyAlignment="1" applyProtection="0">
      <alignment horizontal="right" vertical="top" wrapText="1"/>
    </xf>
    <xf numFmtId="0" fontId="6" fillId="7" borderId="1" applyNumberFormat="0" applyFont="1" applyFill="1" applyBorder="1" applyAlignment="1" applyProtection="0">
      <alignment horizontal="right" vertical="top"/>
    </xf>
    <xf numFmtId="49" fontId="8" fillId="4" borderId="8" applyNumberFormat="1" applyFont="1" applyFill="1" applyBorder="1" applyAlignment="1" applyProtection="0">
      <alignment horizontal="right" vertical="top" wrapText="1"/>
    </xf>
    <xf numFmtId="3" fontId="0" fillId="4" borderId="9" applyNumberFormat="1" applyFont="1" applyFill="1" applyBorder="1" applyAlignment="1" applyProtection="0">
      <alignment vertical="top"/>
    </xf>
    <xf numFmtId="0" fontId="0" fillId="4" borderId="1" applyNumberFormat="0" applyFont="1" applyFill="1" applyBorder="1" applyAlignment="1" applyProtection="0">
      <alignment vertical="top"/>
    </xf>
    <xf numFmtId="0" fontId="6" fillId="4" borderId="1" applyNumberFormat="0" applyFont="1" applyFill="1" applyBorder="1" applyAlignment="1" applyProtection="0">
      <alignment horizontal="right" vertical="top" wrapText="1"/>
    </xf>
    <xf numFmtId="3" fontId="8" fillId="7" borderId="9" applyNumberFormat="1" applyFont="1" applyFill="1" applyBorder="1" applyAlignment="1" applyProtection="0">
      <alignment vertical="top"/>
    </xf>
    <xf numFmtId="0" fontId="0" fillId="7" borderId="1" applyNumberFormat="0" applyFont="1" applyFill="1" applyBorder="1" applyAlignment="1" applyProtection="0">
      <alignment vertical="top"/>
    </xf>
    <xf numFmtId="9" fontId="0" fillId="7" borderId="1" applyNumberFormat="1" applyFont="1" applyFill="1" applyBorder="1" applyAlignment="1" applyProtection="0">
      <alignment vertical="top"/>
    </xf>
    <xf numFmtId="49" fontId="11" fillId="4" borderId="8" applyNumberFormat="1" applyFont="1" applyFill="1" applyBorder="1" applyAlignment="1" applyProtection="0">
      <alignment vertical="top"/>
    </xf>
    <xf numFmtId="49" fontId="8" fillId="7" borderId="9" applyNumberFormat="1" applyFont="1" applyFill="1" applyBorder="1" applyAlignment="1" applyProtection="0">
      <alignment horizontal="center" vertical="top" wrapText="1"/>
    </xf>
    <xf numFmtId="49" fontId="8" fillId="7" borderId="1" applyNumberFormat="1" applyFont="1" applyFill="1" applyBorder="1" applyAlignment="1" applyProtection="0">
      <alignment vertical="top" wrapText="1"/>
    </xf>
    <xf numFmtId="0" fontId="9" fillId="4" borderId="1" applyNumberFormat="0" applyFont="1" applyFill="1" applyBorder="1" applyAlignment="1" applyProtection="0">
      <alignment vertical="top" wrapText="1"/>
    </xf>
    <xf numFmtId="60" fontId="0" fillId="6" borderId="9" applyNumberFormat="1" applyFont="1" applyFill="1" applyBorder="1" applyAlignment="1" applyProtection="0">
      <alignment vertical="top"/>
    </xf>
    <xf numFmtId="60" fontId="8" fillId="7" borderId="1" applyNumberFormat="1" applyFont="1" applyFill="1" applyBorder="1" applyAlignment="1" applyProtection="0">
      <alignment horizontal="center" vertical="top"/>
    </xf>
    <xf numFmtId="60" fontId="8" fillId="7" borderId="1" applyNumberFormat="1" applyFont="1" applyFill="1" applyBorder="1" applyAlignment="1" applyProtection="0">
      <alignment horizontal="center" vertical="top" wrapText="1"/>
    </xf>
    <xf numFmtId="60" fontId="6" fillId="7" borderId="1" applyNumberFormat="1" applyFont="1" applyFill="1" applyBorder="1" applyAlignment="1" applyProtection="0">
      <alignment horizontal="right" vertical="top" wrapText="1"/>
    </xf>
    <xf numFmtId="60" fontId="8" fillId="4" borderId="9" applyNumberFormat="1" applyFont="1" applyFill="1" applyBorder="1" applyAlignment="1" applyProtection="0">
      <alignment vertical="top"/>
    </xf>
    <xf numFmtId="49" fontId="6" fillId="4" borderId="1" applyNumberFormat="1" applyFont="1" applyFill="1" applyBorder="1" applyAlignment="1" applyProtection="0">
      <alignment horizontal="right" vertical="top" wrapText="1"/>
    </xf>
    <xf numFmtId="64" fontId="0" fillId="7" borderId="1" applyNumberFormat="1" applyFont="1" applyFill="1" applyBorder="1" applyAlignment="1" applyProtection="0">
      <alignment vertical="top" wrapText="1"/>
    </xf>
    <xf numFmtId="65" fontId="0" fillId="7" borderId="1" applyNumberFormat="1" applyFont="1" applyFill="1" applyBorder="1" applyAlignment="1" applyProtection="0">
      <alignment vertical="top" wrapText="1"/>
    </xf>
    <xf numFmtId="65" fontId="6" fillId="7" borderId="1" applyNumberFormat="1" applyFont="1" applyFill="1" applyBorder="1" applyAlignment="1" applyProtection="0">
      <alignment horizontal="right" vertical="top" wrapText="1"/>
    </xf>
    <xf numFmtId="64" fontId="6" fillId="7" borderId="1" applyNumberFormat="1" applyFont="1" applyFill="1" applyBorder="1" applyAlignment="1" applyProtection="0">
      <alignment horizontal="right" vertical="top" wrapText="1"/>
    </xf>
    <xf numFmtId="49" fontId="6" fillId="7" borderId="1" applyNumberFormat="1" applyFont="1" applyFill="1" applyBorder="1" applyAlignment="1" applyProtection="0">
      <alignment horizontal="right" vertical="top" wrapText="1"/>
    </xf>
    <xf numFmtId="65" fontId="0" fillId="4" borderId="1" applyNumberFormat="1" applyFont="1" applyFill="1" applyBorder="1" applyAlignment="1" applyProtection="0">
      <alignment vertical="top"/>
    </xf>
    <xf numFmtId="60" fontId="6" fillId="4" borderId="1" applyNumberFormat="1" applyFont="1" applyFill="1" applyBorder="1" applyAlignment="1" applyProtection="0">
      <alignment horizontal="right" vertical="top" wrapText="1"/>
    </xf>
    <xf numFmtId="65" fontId="6" fillId="4" borderId="1" applyNumberFormat="1" applyFont="1" applyFill="1" applyBorder="1" applyAlignment="1" applyProtection="0">
      <alignment horizontal="right" vertical="top" wrapText="1"/>
    </xf>
    <xf numFmtId="49" fontId="7" fillId="7" borderId="1" applyNumberFormat="1" applyFont="1" applyFill="1" applyBorder="1" applyAlignment="1" applyProtection="0">
      <alignment horizontal="center" vertical="top" wrapText="1"/>
    </xf>
    <xf numFmtId="49" fontId="12" fillId="5" borderId="8" applyNumberFormat="1" applyFont="1" applyFill="1" applyBorder="1" applyAlignment="1" applyProtection="0">
      <alignment horizontal="left" vertical="top" wrapText="1"/>
    </xf>
    <xf numFmtId="60" fontId="0" fillId="4" borderId="9" applyNumberFormat="1" applyFont="1" applyFill="1" applyBorder="1" applyAlignment="1" applyProtection="0">
      <alignment vertical="top"/>
    </xf>
    <xf numFmtId="49" fontId="0" fillId="4" borderId="1" applyNumberFormat="1" applyFont="1" applyFill="1" applyBorder="1" applyAlignment="1" applyProtection="0">
      <alignment vertical="top"/>
    </xf>
    <xf numFmtId="60" fontId="6" fillId="4" borderId="1" applyNumberFormat="1" applyFont="1" applyFill="1" applyBorder="1" applyAlignment="1" applyProtection="0">
      <alignment horizontal="right" vertical="top"/>
    </xf>
    <xf numFmtId="65" fontId="6" fillId="4" borderId="1" applyNumberFormat="1" applyFont="1" applyFill="1" applyBorder="1" applyAlignment="1" applyProtection="0">
      <alignment horizontal="right" vertical="top"/>
    </xf>
    <xf numFmtId="65" fontId="0" fillId="7" borderId="1" applyNumberFormat="1" applyFont="1" applyFill="1" applyBorder="1" applyAlignment="1" applyProtection="0">
      <alignment vertical="top"/>
    </xf>
    <xf numFmtId="65" fontId="0" fillId="4" borderId="1" applyNumberFormat="1" applyFont="1" applyFill="1" applyBorder="1" applyAlignment="1" applyProtection="0">
      <alignment vertical="top" wrapText="1"/>
    </xf>
    <xf numFmtId="49" fontId="7" fillId="5" borderId="8" applyNumberFormat="1" applyFont="1" applyFill="1" applyBorder="1" applyAlignment="1" applyProtection="0">
      <alignment horizontal="justify" vertical="top" wrapText="1"/>
    </xf>
    <xf numFmtId="0" fontId="8" fillId="4" borderId="1" applyNumberFormat="0" applyFont="1" applyFill="1" applyBorder="1" applyAlignment="1" applyProtection="0">
      <alignment vertical="top"/>
    </xf>
    <xf numFmtId="60" fontId="8" fillId="4" borderId="1" applyNumberFormat="1" applyFont="1" applyFill="1" applyBorder="1" applyAlignment="1" applyProtection="0">
      <alignment horizontal="right" vertical="top"/>
    </xf>
    <xf numFmtId="65" fontId="8" fillId="4" borderId="1" applyNumberFormat="1" applyFont="1" applyFill="1" applyBorder="1" applyAlignment="1" applyProtection="0">
      <alignment horizontal="right" vertical="top"/>
    </xf>
    <xf numFmtId="60" fontId="8" fillId="4" borderId="1" applyNumberFormat="1" applyFont="1" applyFill="1" applyBorder="1" applyAlignment="1" applyProtection="0">
      <alignment horizontal="right" vertical="top" wrapText="1"/>
    </xf>
    <xf numFmtId="60" fontId="8" fillId="6" borderId="1" applyNumberFormat="1" applyFont="1" applyFill="1" applyBorder="1" applyAlignment="1" applyProtection="0">
      <alignment horizontal="right" vertical="top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ffe061"/>
      <rgbColor rgb="ffffffff"/>
      <rgbColor rgb="ffaaaaaa"/>
      <rgbColor rgb="ff3f3f3f"/>
      <rgbColor rgb="ffdbdbdb"/>
      <rgbColor rgb="ff9ce159"/>
      <rgbColor rgb="fff4f4f4"/>
      <rgbColor rgb="ffdddddd"/>
      <rgbColor rgb="ffffc071"/>
      <rgbColor rgb="ff63b2de"/>
      <rgbColor rgb="ff000099"/>
      <rgbColor rgb="ffeaeaea"/>
      <rgbColor rgb="ffd6d6d6"/>
      <rgbColor rgb="ff659c3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calculator.net" TargetMode="External"/><Relationship Id="rId2" Type="http://schemas.openxmlformats.org/officeDocument/2006/relationships/hyperlink" Target="http://calculator.net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52"/>
  <sheetViews>
    <sheetView workbookViewId="0" showGridLines="0" defaultGridColor="1"/>
  </sheetViews>
  <sheetFormatPr defaultColWidth="16.3333" defaultRowHeight="18" customHeight="1" outlineLevelRow="0" outlineLevelCol="0"/>
  <cols>
    <col min="1" max="1" width="24.1719" style="1" customWidth="1"/>
    <col min="2" max="2" width="12.1719" style="1" customWidth="1"/>
    <col min="3" max="3" width="5.5" style="1" customWidth="1"/>
    <col min="4" max="4" width="58.1719" style="1" customWidth="1"/>
    <col min="5" max="5" width="16.3516" style="1" customWidth="1"/>
    <col min="6" max="16384" width="16.3516" style="1" customWidth="1"/>
  </cols>
  <sheetData>
    <row r="1" ht="31" customHeight="1">
      <c r="A1" t="s" s="2">
        <v>0</v>
      </c>
      <c r="B1" s="3"/>
      <c r="C1" s="4"/>
      <c r="D1" t="s" s="5">
        <v>1</v>
      </c>
      <c r="E1" s="6"/>
    </row>
    <row r="2" ht="20.55" customHeight="1">
      <c r="A2" t="s" s="7">
        <v>2</v>
      </c>
      <c r="B2" s="8"/>
      <c r="C2" s="8"/>
      <c r="D2" s="8"/>
      <c r="E2" s="9"/>
    </row>
    <row r="3" ht="20.55" customHeight="1">
      <c r="A3" s="10"/>
      <c r="B3" s="11"/>
      <c r="C3" s="12"/>
      <c r="D3" s="12"/>
      <c r="E3" s="9"/>
    </row>
    <row r="4" ht="20.35" customHeight="1">
      <c r="A4" t="s" s="13">
        <v>3</v>
      </c>
      <c r="B4" s="14">
        <v>48</v>
      </c>
      <c r="C4" s="15"/>
      <c r="D4" t="s" s="16">
        <v>4</v>
      </c>
      <c r="E4" s="9"/>
    </row>
    <row r="5" ht="20.35" customHeight="1">
      <c r="A5" s="17"/>
      <c r="B5" s="14">
        <v>7</v>
      </c>
      <c r="C5" s="18"/>
      <c r="D5" t="s" s="19">
        <v>5</v>
      </c>
      <c r="E5" s="9"/>
    </row>
    <row r="6" ht="20.35" customHeight="1">
      <c r="A6" s="17"/>
      <c r="B6" s="14">
        <v>7</v>
      </c>
      <c r="C6" s="15"/>
      <c r="D6" t="s" s="16">
        <v>6</v>
      </c>
      <c r="E6" s="9"/>
    </row>
    <row r="7" ht="20.35" customHeight="1">
      <c r="A7" s="17"/>
      <c r="B7" s="14">
        <f>SUM(B4:B6)</f>
        <v>62</v>
      </c>
      <c r="C7" s="18"/>
      <c r="D7" t="s" s="19">
        <v>7</v>
      </c>
      <c r="E7" s="9"/>
    </row>
    <row r="8" ht="20.35" customHeight="1">
      <c r="A8" s="17"/>
      <c r="B8" s="20"/>
      <c r="C8" s="15"/>
      <c r="D8" s="15"/>
      <c r="E8" s="9"/>
    </row>
    <row r="9" ht="20.35" customHeight="1">
      <c r="A9" t="s" s="21">
        <v>8</v>
      </c>
      <c r="B9" s="22"/>
      <c r="C9" s="18"/>
      <c r="D9" t="s" s="23">
        <v>9</v>
      </c>
      <c r="E9" s="9"/>
    </row>
    <row r="10" ht="20.35" customHeight="1">
      <c r="A10" t="s" s="24">
        <v>10</v>
      </c>
      <c r="B10" s="25">
        <v>25000</v>
      </c>
      <c r="C10" s="15"/>
      <c r="D10" t="s" s="16">
        <v>11</v>
      </c>
      <c r="E10" s="9"/>
    </row>
    <row r="11" ht="20.35" customHeight="1">
      <c r="A11" t="s" s="24">
        <v>12</v>
      </c>
      <c r="B11" s="25">
        <v>15</v>
      </c>
      <c r="C11" s="18"/>
      <c r="D11" t="s" s="19">
        <v>13</v>
      </c>
      <c r="E11" s="9"/>
    </row>
    <row r="12" ht="20.35" customHeight="1">
      <c r="A12" s="17"/>
      <c r="B12" s="25">
        <f>(B11*B7*1.5)*52</f>
        <v>72540</v>
      </c>
      <c r="C12" s="15"/>
      <c r="D12" t="s" s="16">
        <v>14</v>
      </c>
      <c r="E12" s="9"/>
    </row>
    <row r="13" ht="32.35" customHeight="1">
      <c r="A13" t="s" s="24">
        <v>15</v>
      </c>
      <c r="B13" s="26">
        <f>(B10+B12)</f>
        <v>97540</v>
      </c>
      <c r="C13" s="18"/>
      <c r="D13" t="s" s="19">
        <v>16</v>
      </c>
      <c r="E13" s="9"/>
    </row>
    <row r="14" ht="20.35" customHeight="1">
      <c r="A14" t="s" s="24">
        <v>17</v>
      </c>
      <c r="B14" s="27"/>
      <c r="C14" s="15"/>
      <c r="D14" t="s" s="16">
        <v>18</v>
      </c>
      <c r="E14" s="9"/>
    </row>
    <row r="15" ht="20.35" customHeight="1">
      <c r="A15" s="17"/>
      <c r="B15" s="27"/>
      <c r="C15" s="15"/>
      <c r="D15" s="15"/>
      <c r="E15" s="9"/>
    </row>
    <row r="16" ht="20.35" customHeight="1">
      <c r="A16" t="s" s="28">
        <v>19</v>
      </c>
      <c r="B16" s="29"/>
      <c r="C16" s="18"/>
      <c r="D16" s="18"/>
      <c r="E16" s="9"/>
    </row>
    <row r="17" ht="20.35" customHeight="1">
      <c r="A17" t="s" s="24">
        <v>20</v>
      </c>
      <c r="B17" s="30">
        <v>1400</v>
      </c>
      <c r="C17" s="15"/>
      <c r="D17" t="s" s="16">
        <v>21</v>
      </c>
      <c r="E17" s="9"/>
    </row>
    <row r="18" ht="20.35" customHeight="1">
      <c r="A18" t="s" s="24">
        <v>22</v>
      </c>
      <c r="B18" s="31">
        <v>0.1</v>
      </c>
      <c r="C18" s="18"/>
      <c r="D18" s="18"/>
      <c r="E18" s="9"/>
    </row>
    <row r="19" ht="20.35" customHeight="1">
      <c r="A19" t="s" s="24">
        <v>23</v>
      </c>
      <c r="B19" s="30">
        <f>(B17*B18)</f>
        <v>140</v>
      </c>
      <c r="C19" s="15"/>
      <c r="D19" t="s" s="16">
        <v>24</v>
      </c>
      <c r="E19" s="9"/>
    </row>
    <row r="20" ht="20.35" customHeight="1">
      <c r="A20" t="s" s="32">
        <v>25</v>
      </c>
      <c r="B20" s="33">
        <f>(B17-B19)</f>
        <v>1260</v>
      </c>
      <c r="C20" s="18"/>
      <c r="D20" t="s" s="19">
        <v>26</v>
      </c>
      <c r="E20" s="9"/>
    </row>
    <row r="21" ht="20.35" customHeight="1">
      <c r="A21" s="17"/>
      <c r="B21" s="27"/>
      <c r="C21" s="15"/>
      <c r="D21" s="15"/>
      <c r="E21" s="9"/>
    </row>
    <row r="22" ht="20.35" customHeight="1">
      <c r="A22" t="s" s="24">
        <v>27</v>
      </c>
      <c r="B22" s="25">
        <v>35000</v>
      </c>
      <c r="C22" s="18"/>
      <c r="D22" t="s" s="19">
        <v>2</v>
      </c>
      <c r="E22" s="9"/>
    </row>
    <row r="23" ht="20.35" customHeight="1">
      <c r="A23" t="s" s="24">
        <v>28</v>
      </c>
      <c r="B23" s="27">
        <f>(B22/12)</f>
        <v>2916.666666666670</v>
      </c>
      <c r="C23" s="15"/>
      <c r="D23" s="15"/>
      <c r="E23" s="9"/>
    </row>
    <row r="24" ht="20.35" customHeight="1">
      <c r="A24" t="s" s="24">
        <v>29</v>
      </c>
      <c r="B24" s="25">
        <v>0</v>
      </c>
      <c r="C24" s="18"/>
      <c r="D24" t="s" s="19">
        <v>30</v>
      </c>
      <c r="E24" s="9"/>
    </row>
    <row r="25" ht="20.35" customHeight="1">
      <c r="A25" t="s" s="32">
        <v>31</v>
      </c>
      <c r="B25" s="27">
        <f>(B23+B24)</f>
        <v>2916.666666666670</v>
      </c>
      <c r="C25" s="15"/>
      <c r="D25" s="15"/>
      <c r="E25" s="9"/>
    </row>
    <row r="26" ht="20.35" customHeight="1">
      <c r="A26" t="s" s="24">
        <v>32</v>
      </c>
      <c r="B26" s="29">
        <f>(B25*12)</f>
        <v>35000</v>
      </c>
      <c r="C26" s="18"/>
      <c r="D26" s="18"/>
      <c r="E26" s="9"/>
    </row>
    <row r="27" ht="20.35" customHeight="1">
      <c r="A27" t="s" s="24">
        <v>33</v>
      </c>
      <c r="B27" s="34">
        <f>(B23*12/B17)</f>
        <v>25</v>
      </c>
      <c r="C27" s="15"/>
      <c r="D27" s="15"/>
      <c r="E27" s="9"/>
    </row>
    <row r="28" ht="20.35" customHeight="1">
      <c r="A28" s="17"/>
      <c r="B28" s="29"/>
      <c r="C28" s="18"/>
      <c r="D28" s="18"/>
      <c r="E28" s="9"/>
    </row>
    <row r="29" ht="20.35" customHeight="1">
      <c r="A29" t="s" s="35">
        <v>34</v>
      </c>
      <c r="B29" s="27"/>
      <c r="C29" s="15"/>
      <c r="D29" t="s" s="16">
        <v>35</v>
      </c>
      <c r="E29" s="9"/>
    </row>
    <row r="30" ht="20.35" customHeight="1">
      <c r="A30" t="s" s="36">
        <v>36</v>
      </c>
      <c r="B30" s="29"/>
      <c r="C30" s="18"/>
      <c r="D30" s="18"/>
      <c r="E30" s="9"/>
    </row>
    <row r="31" ht="20.35" customHeight="1">
      <c r="A31" s="17"/>
      <c r="B31" s="27">
        <f>'Start-up Investment'!E14</f>
        <v>94500</v>
      </c>
      <c r="C31" s="15"/>
      <c r="D31" t="s" s="16">
        <v>37</v>
      </c>
      <c r="E31" s="9"/>
    </row>
    <row r="32" ht="20.35" customHeight="1">
      <c r="A32" s="17"/>
      <c r="B32" s="29">
        <f>(B31/0.58)</f>
        <v>162931.034482759</v>
      </c>
      <c r="C32" s="18"/>
      <c r="D32" t="s" s="19">
        <v>38</v>
      </c>
      <c r="E32" s="9"/>
    </row>
    <row r="33" ht="10.25" customHeight="1">
      <c r="A33" t="s" s="24">
        <v>2</v>
      </c>
      <c r="B33" s="27"/>
      <c r="C33" s="15"/>
      <c r="D33" s="15"/>
      <c r="E33" s="9"/>
    </row>
    <row r="34" ht="20.35" customHeight="1">
      <c r="A34" t="s" s="24">
        <v>39</v>
      </c>
      <c r="B34" s="29">
        <f>(B32*2)</f>
        <v>325862.068965518</v>
      </c>
      <c r="C34" s="18"/>
      <c r="D34" t="s" s="19">
        <v>40</v>
      </c>
      <c r="E34" s="9"/>
    </row>
    <row r="35" ht="20.35" customHeight="1">
      <c r="A35" t="s" s="24">
        <v>41</v>
      </c>
      <c r="B35" s="27">
        <f>(B32*2.5)</f>
        <v>407327.586206898</v>
      </c>
      <c r="C35" s="15"/>
      <c r="D35" t="s" s="16">
        <v>42</v>
      </c>
      <c r="E35" s="9"/>
    </row>
    <row r="36" ht="20.35" customHeight="1">
      <c r="A36" t="s" s="24">
        <v>43</v>
      </c>
      <c r="B36" s="29">
        <f>(B32*3.25)</f>
        <v>529525.862068967</v>
      </c>
      <c r="C36" s="18"/>
      <c r="D36" t="s" s="19">
        <v>44</v>
      </c>
      <c r="E36" s="9"/>
    </row>
    <row r="37" ht="20.35" customHeight="1">
      <c r="A37" s="17"/>
      <c r="B37" s="20"/>
      <c r="C37" s="15"/>
      <c r="D37" s="15"/>
      <c r="E37" s="9"/>
    </row>
    <row r="38" ht="32.35" customHeight="1">
      <c r="A38" t="s" s="36">
        <v>45</v>
      </c>
      <c r="B38" t="s" s="37">
        <v>46</v>
      </c>
      <c r="C38" s="18"/>
      <c r="D38" t="s" s="19">
        <v>47</v>
      </c>
      <c r="E38" s="9"/>
    </row>
    <row r="39" ht="20.35" customHeight="1">
      <c r="A39" t="s" s="24">
        <v>39</v>
      </c>
      <c r="B39" s="38">
        <f>(B20*C39)</f>
        <v>346500</v>
      </c>
      <c r="C39" s="39">
        <v>275</v>
      </c>
      <c r="D39" t="s" s="16">
        <v>48</v>
      </c>
      <c r="E39" s="9"/>
    </row>
    <row r="40" ht="20.35" customHeight="1">
      <c r="A40" t="s" s="24">
        <v>41</v>
      </c>
      <c r="B40" s="29">
        <f>(B20*C40)</f>
        <v>409500</v>
      </c>
      <c r="C40" s="39">
        <v>325</v>
      </c>
      <c r="D40" t="s" s="19">
        <v>49</v>
      </c>
      <c r="E40" s="9"/>
    </row>
    <row r="41" ht="20.35" customHeight="1">
      <c r="A41" t="s" s="24">
        <v>43</v>
      </c>
      <c r="B41" s="27">
        <f>(B20*C41)</f>
        <v>472500</v>
      </c>
      <c r="C41" s="39">
        <v>375</v>
      </c>
      <c r="D41" t="s" s="16">
        <v>50</v>
      </c>
      <c r="E41" s="9"/>
    </row>
    <row r="42" ht="20.35" customHeight="1">
      <c r="A42" t="s" s="24">
        <v>51</v>
      </c>
      <c r="B42" s="29">
        <f>(B20*C42)</f>
        <v>535500</v>
      </c>
      <c r="C42" s="39">
        <v>425</v>
      </c>
      <c r="D42" t="s" s="19">
        <v>52</v>
      </c>
      <c r="E42" s="9"/>
    </row>
    <row r="43" ht="20.35" customHeight="1">
      <c r="A43" s="17"/>
      <c r="B43" s="27"/>
      <c r="C43" s="40"/>
      <c r="D43" s="15"/>
      <c r="E43" s="9"/>
    </row>
    <row r="44" ht="20.35" customHeight="1">
      <c r="A44" t="s" s="13">
        <v>53</v>
      </c>
      <c r="B44" s="29"/>
      <c r="C44" s="41"/>
      <c r="D44" s="18"/>
      <c r="E44" s="9"/>
    </row>
    <row r="45" ht="20.35" customHeight="1">
      <c r="A45" t="s" s="24">
        <v>43</v>
      </c>
      <c r="B45" s="27"/>
      <c r="C45" s="42">
        <v>0.5629999999999999</v>
      </c>
      <c r="D45" t="s" s="16">
        <v>54</v>
      </c>
      <c r="E45" s="9"/>
    </row>
    <row r="46" ht="20.35" customHeight="1">
      <c r="A46" t="s" s="24">
        <v>41</v>
      </c>
      <c r="B46" s="29"/>
      <c r="C46" s="42">
        <v>0.57</v>
      </c>
      <c r="D46" t="s" s="19">
        <v>55</v>
      </c>
      <c r="E46" s="9"/>
    </row>
    <row r="47" ht="20.35" customHeight="1">
      <c r="A47" t="s" s="24">
        <v>56</v>
      </c>
      <c r="B47" s="27"/>
      <c r="C47" s="42">
        <v>0.58</v>
      </c>
      <c r="D47" t="s" s="16">
        <v>57</v>
      </c>
      <c r="E47" s="9"/>
    </row>
    <row r="48" ht="20.35" customHeight="1">
      <c r="A48" s="17"/>
      <c r="B48" s="29"/>
      <c r="C48" s="43"/>
      <c r="D48" s="18"/>
      <c r="E48" s="9"/>
    </row>
    <row r="49" ht="20.35" customHeight="1">
      <c r="A49" t="s" s="28">
        <v>58</v>
      </c>
      <c r="B49" s="27"/>
      <c r="C49" s="44"/>
      <c r="D49" s="15"/>
      <c r="E49" s="9"/>
    </row>
    <row r="50" ht="20.35" customHeight="1">
      <c r="A50" t="s" s="24">
        <v>43</v>
      </c>
      <c r="B50" s="29"/>
      <c r="C50" s="42">
        <v>0.02</v>
      </c>
      <c r="D50" s="18"/>
      <c r="E50" s="9"/>
    </row>
    <row r="51" ht="20.35" customHeight="1">
      <c r="A51" t="s" s="24">
        <v>41</v>
      </c>
      <c r="B51" s="27"/>
      <c r="C51" s="42">
        <v>0.025</v>
      </c>
      <c r="D51" s="15"/>
      <c r="E51" s="9"/>
    </row>
    <row r="52" ht="20.35" customHeight="1">
      <c r="A52" t="s" s="24">
        <v>56</v>
      </c>
      <c r="B52" s="29"/>
      <c r="C52" s="42">
        <v>0.03</v>
      </c>
      <c r="D52" t="s" s="19">
        <v>59</v>
      </c>
      <c r="E52" s="45"/>
    </row>
  </sheetData>
  <pageMargins left="0.5" right="0.5" top="0.5" bottom="0.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S44"/>
  <sheetViews>
    <sheetView workbookViewId="0" showGridLines="0" defaultGridColor="1"/>
  </sheetViews>
  <sheetFormatPr defaultColWidth="16.3333" defaultRowHeight="18" customHeight="1" outlineLevelRow="0" outlineLevelCol="0"/>
  <cols>
    <col min="1" max="1" width="20.8516" style="236" customWidth="1"/>
    <col min="2" max="2" width="12" style="236" customWidth="1"/>
    <col min="3" max="3" width="3.85156" style="236" customWidth="1"/>
    <col min="4" max="4" width="10.5" style="236" customWidth="1"/>
    <col min="5" max="5" width="3.67188" style="236" customWidth="1"/>
    <col min="6" max="6" width="10.1719" style="236" customWidth="1"/>
    <col min="7" max="7" width="10.5" style="236" customWidth="1"/>
    <col min="8" max="8" width="10.8516" style="236" customWidth="1"/>
    <col min="9" max="9" width="10.6719" style="236" customWidth="1"/>
    <col min="10" max="10" width="10.1719" style="236" customWidth="1"/>
    <col min="11" max="11" width="11.1719" style="236" customWidth="1"/>
    <col min="12" max="12" width="11.8516" style="236" customWidth="1"/>
    <col min="13" max="13" width="11.3516" style="236" customWidth="1"/>
    <col min="14" max="14" width="11" style="236" customWidth="1"/>
    <col min="15" max="15" width="12" style="236" customWidth="1"/>
    <col min="16" max="16" width="11.1719" style="236" customWidth="1"/>
    <col min="17" max="17" width="11.5" style="236" customWidth="1"/>
    <col min="18" max="18" width="9.85156" style="236" customWidth="1"/>
    <col min="19" max="19" width="7.35156" style="236" customWidth="1"/>
    <col min="20" max="16384" width="16.3516" style="236" customWidth="1"/>
  </cols>
  <sheetData>
    <row r="1" ht="23.2" customHeight="1">
      <c r="A1" t="s" s="105">
        <v>226</v>
      </c>
      <c r="B1" s="8"/>
      <c r="C1" s="8"/>
      <c r="D1" s="8"/>
      <c r="E1" s="8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</row>
    <row r="2" ht="20.55" customHeight="1">
      <c r="A2" t="s" s="190">
        <v>225</v>
      </c>
      <c r="B2" t="s" s="191">
        <v>2</v>
      </c>
      <c r="C2" s="12"/>
      <c r="D2" s="12"/>
      <c r="E2" s="12"/>
      <c r="F2" s="192"/>
      <c r="G2" s="192"/>
      <c r="H2" t="s" s="193">
        <v>2</v>
      </c>
      <c r="I2" t="s" s="194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ht="20.35" customHeight="1">
      <c r="A3" t="s" s="111">
        <v>2</v>
      </c>
      <c r="B3" s="20"/>
      <c r="C3" s="15"/>
      <c r="D3" s="15"/>
      <c r="E3" s="15"/>
      <c r="F3" s="195"/>
      <c r="G3" s="195"/>
      <c r="H3" s="196"/>
      <c r="I3" t="s" s="114">
        <v>2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ht="20.35" customHeight="1">
      <c r="A4" t="s" s="197">
        <v>185</v>
      </c>
      <c r="B4" s="198">
        <f>'Assumptions'!B17</f>
        <v>1400</v>
      </c>
      <c r="C4" s="199"/>
      <c r="D4" s="199"/>
      <c r="E4" s="18"/>
      <c r="F4" s="200"/>
      <c r="G4" s="200"/>
      <c r="H4" s="18"/>
      <c r="I4" s="18"/>
      <c r="J4" s="200"/>
      <c r="K4" s="200"/>
      <c r="L4" s="200"/>
      <c r="M4" s="200"/>
      <c r="N4" s="200"/>
      <c r="O4" s="200"/>
      <c r="P4" s="200"/>
      <c r="Q4" s="200"/>
      <c r="R4" s="200"/>
      <c r="S4" s="200"/>
    </row>
    <row r="5" ht="20.35" customHeight="1">
      <c r="A5" t="s" s="197">
        <v>186</v>
      </c>
      <c r="B5" s="201">
        <f>'Assumptions'!B20</f>
        <v>1260</v>
      </c>
      <c r="C5" s="202"/>
      <c r="D5" s="203">
        <v>1</v>
      </c>
      <c r="E5" s="1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</row>
    <row r="6" ht="20.35" customHeight="1">
      <c r="A6" s="17"/>
      <c r="B6" s="115"/>
      <c r="C6" s="18"/>
      <c r="D6" s="18"/>
      <c r="E6" s="18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18"/>
    </row>
    <row r="7" ht="20.35" customHeight="1">
      <c r="A7" t="s" s="204">
        <v>2</v>
      </c>
      <c r="B7" t="s" s="205">
        <v>2</v>
      </c>
      <c r="C7" s="15"/>
      <c r="D7" t="s" s="206">
        <v>187</v>
      </c>
      <c r="E7" s="15"/>
      <c r="F7" t="s" s="62">
        <v>188</v>
      </c>
      <c r="G7" t="s" s="62">
        <v>189</v>
      </c>
      <c r="H7" t="s" s="62">
        <v>190</v>
      </c>
      <c r="I7" t="s" s="62">
        <v>191</v>
      </c>
      <c r="J7" t="s" s="62">
        <v>192</v>
      </c>
      <c r="K7" t="s" s="62">
        <v>193</v>
      </c>
      <c r="L7" t="s" s="62">
        <v>194</v>
      </c>
      <c r="M7" t="s" s="62">
        <v>195</v>
      </c>
      <c r="N7" t="s" s="62">
        <v>196</v>
      </c>
      <c r="O7" t="s" s="62">
        <v>197</v>
      </c>
      <c r="P7" t="s" s="62">
        <v>198</v>
      </c>
      <c r="Q7" t="s" s="62">
        <v>199</v>
      </c>
      <c r="R7" t="s" s="62">
        <v>180</v>
      </c>
      <c r="S7" t="s" s="62">
        <v>200</v>
      </c>
    </row>
    <row r="8" ht="20.35" customHeight="1">
      <c r="A8" s="17"/>
      <c r="B8" s="58"/>
      <c r="C8" s="18"/>
      <c r="D8" t="s" s="59">
        <v>201</v>
      </c>
      <c r="E8" s="207"/>
      <c r="F8" t="s" s="60">
        <v>2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t="s" s="60">
        <v>2</v>
      </c>
      <c r="S8" t="s" s="59">
        <v>202</v>
      </c>
    </row>
    <row r="9" ht="20.35" customHeight="1">
      <c r="A9" t="s" s="13">
        <v>228</v>
      </c>
      <c r="B9" s="208">
        <f>'Cash Flow Year 2'!Q43</f>
        <v>20799.6794999998</v>
      </c>
      <c r="C9" s="15"/>
      <c r="D9" s="15"/>
      <c r="E9" s="15"/>
      <c r="F9" s="209">
        <f>B9</f>
        <v>20799.6794999998</v>
      </c>
      <c r="G9" s="210">
        <f>(F9+F40)</f>
        <v>20250.5610319633</v>
      </c>
      <c r="H9" s="210">
        <f>(G9+G40)</f>
        <v>19813.3693995432</v>
      </c>
      <c r="I9" s="210">
        <f>(H9+H40)</f>
        <v>20483.5371815067</v>
      </c>
      <c r="J9" s="210">
        <f>(I9+I40)</f>
        <v>20621.4939086756</v>
      </c>
      <c r="K9" s="210">
        <f>(J9+J40)</f>
        <v>22290.4321906391</v>
      </c>
      <c r="L9" s="210">
        <f>(K9+K40)</f>
        <v>23453.005167808</v>
      </c>
      <c r="M9" s="210">
        <f>(L9+L40)</f>
        <v>25136.1184497715</v>
      </c>
      <c r="N9" s="210">
        <f>(M9+M40)</f>
        <v>28158.154981735</v>
      </c>
      <c r="O9" s="210">
        <f>(N9+N40)</f>
        <v>30059.3872089039</v>
      </c>
      <c r="P9" s="210">
        <f>(O9+O40)</f>
        <v>30320.9369908674</v>
      </c>
      <c r="Q9" s="210">
        <f>(P9+P40)</f>
        <v>33453.1262180363</v>
      </c>
      <c r="R9" s="132"/>
      <c r="S9" s="132"/>
    </row>
    <row r="10" ht="20.35" customHeight="1">
      <c r="A10" s="17"/>
      <c r="B10" s="29"/>
      <c r="C10" s="18"/>
      <c r="D10" s="18"/>
      <c r="E10" s="18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</row>
    <row r="11" ht="20.35" customHeight="1">
      <c r="A11" t="s" s="24">
        <v>229</v>
      </c>
      <c r="B11" s="27">
        <f>(B5*B12)</f>
        <v>472500</v>
      </c>
      <c r="C11" s="15"/>
      <c r="D11" s="15"/>
      <c r="E11" s="15"/>
      <c r="F11" s="211">
        <f>($B$11*F13)</f>
        <v>32413.5</v>
      </c>
      <c r="G11" s="211">
        <f>($B$11*G13)</f>
        <v>32602.5</v>
      </c>
      <c r="H11" s="211">
        <f>($B$11*H13)</f>
        <v>35484.75</v>
      </c>
      <c r="I11" s="211">
        <f>($B$11*I13)</f>
        <v>31137.75</v>
      </c>
      <c r="J11" s="211">
        <f>($B$11*J13)</f>
        <v>42761.25</v>
      </c>
      <c r="K11" s="211">
        <f>($B$11*K13)</f>
        <v>36099</v>
      </c>
      <c r="L11" s="211">
        <f>($B$11*L13)</f>
        <v>38036.25</v>
      </c>
      <c r="M11" s="211">
        <f>($B$11*M13)</f>
        <v>39028.5</v>
      </c>
      <c r="N11" s="211">
        <f>($B$11*N13)</f>
        <v>35579.25</v>
      </c>
      <c r="O11" s="211">
        <f>($B$11*O13)</f>
        <v>36240.75</v>
      </c>
      <c r="P11" s="211">
        <f>($B$11*P13)</f>
        <v>41060.25</v>
      </c>
      <c r="Q11" s="211">
        <f>($B$11*Q13)</f>
        <v>72009</v>
      </c>
      <c r="R11" s="211">
        <f>SUM(F11:Q11)</f>
        <v>472452.75</v>
      </c>
      <c r="S11" s="211"/>
    </row>
    <row r="12" ht="20.35" customHeight="1">
      <c r="A12" t="s" s="197">
        <v>241</v>
      </c>
      <c r="B12" s="212">
        <f>'Assumptions'!C41</f>
        <v>375</v>
      </c>
      <c r="C12" s="18"/>
      <c r="D12" s="18"/>
      <c r="E12" s="18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t="s" s="213">
        <v>2</v>
      </c>
      <c r="S12" s="200"/>
    </row>
    <row r="13" ht="20.35" customHeight="1">
      <c r="A13" t="s" s="111">
        <v>205</v>
      </c>
      <c r="B13" s="27"/>
      <c r="C13" s="15"/>
      <c r="D13" s="214">
        <f>SUM(E13:Q13)</f>
        <v>0.9999</v>
      </c>
      <c r="E13" s="215"/>
      <c r="F13" s="216">
        <v>0.06859999999999999</v>
      </c>
      <c r="G13" s="216">
        <v>0.06900000000000001</v>
      </c>
      <c r="H13" s="216">
        <v>0.0751</v>
      </c>
      <c r="I13" s="216">
        <v>0.0659</v>
      </c>
      <c r="J13" s="216">
        <v>0.0905</v>
      </c>
      <c r="K13" s="216">
        <v>0.0764</v>
      </c>
      <c r="L13" s="216">
        <v>0.0805</v>
      </c>
      <c r="M13" s="216">
        <v>0.08260000000000001</v>
      </c>
      <c r="N13" s="216">
        <v>0.07530000000000001</v>
      </c>
      <c r="O13" s="216">
        <v>0.0767</v>
      </c>
      <c r="P13" s="216">
        <v>0.08690000000000001</v>
      </c>
      <c r="Q13" s="216">
        <v>0.1524</v>
      </c>
      <c r="R13" s="217">
        <f>SUM(F13:Q13)</f>
        <v>0.9999</v>
      </c>
      <c r="S13" s="217"/>
    </row>
    <row r="14" ht="20.35" customHeight="1">
      <c r="A14" s="17"/>
      <c r="B14" s="29"/>
      <c r="C14" s="18"/>
      <c r="D14" s="18"/>
      <c r="E14" s="18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t="s" s="213">
        <v>2</v>
      </c>
      <c r="S14" s="200"/>
    </row>
    <row r="15" ht="20.35" customHeight="1">
      <c r="A15" t="s" s="24">
        <v>230</v>
      </c>
      <c r="B15" s="27">
        <f>(B9+B11)</f>
        <v>493299.6795</v>
      </c>
      <c r="C15" s="15"/>
      <c r="D15" s="15"/>
      <c r="E15" s="15"/>
      <c r="F15" s="211">
        <f>(F9+F11)</f>
        <v>53213.1794999998</v>
      </c>
      <c r="G15" s="211">
        <f>(G9+G11)</f>
        <v>52853.0610319633</v>
      </c>
      <c r="H15" s="211">
        <f>(H9+H11)</f>
        <v>55298.1193995432</v>
      </c>
      <c r="I15" s="211">
        <f>(I9+I11)</f>
        <v>51621.2871815067</v>
      </c>
      <c r="J15" s="211">
        <f>(J9+J11)</f>
        <v>63382.7439086756</v>
      </c>
      <c r="K15" s="211">
        <f>(K9+K11)</f>
        <v>58389.4321906391</v>
      </c>
      <c r="L15" s="211">
        <f>(L9+L11)</f>
        <v>61489.255167808</v>
      </c>
      <c r="M15" s="211">
        <f>(M9+M11)</f>
        <v>64164.6184497715</v>
      </c>
      <c r="N15" s="211">
        <f>(N9+N11)</f>
        <v>63737.404981735</v>
      </c>
      <c r="O15" s="211">
        <f>(O9+O11)</f>
        <v>66300.137208903907</v>
      </c>
      <c r="P15" s="211">
        <f>(P9+P11)</f>
        <v>71381.1869908674</v>
      </c>
      <c r="Q15" s="211">
        <f>(Q9+Q11)</f>
        <v>105462.126218036</v>
      </c>
      <c r="R15" s="211">
        <f>SUM(F15:Q15)</f>
        <v>767292.55222945</v>
      </c>
      <c r="S15" t="s" s="218">
        <v>2</v>
      </c>
    </row>
    <row r="16" ht="20.35" customHeight="1">
      <c r="A16" s="17"/>
      <c r="B16" s="29"/>
      <c r="C16" s="18"/>
      <c r="D16" s="18"/>
      <c r="E16" s="18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t="s" s="213">
        <v>2</v>
      </c>
      <c r="S16" s="200"/>
    </row>
    <row r="17" ht="20.35" customHeight="1">
      <c r="A17" t="s" s="24">
        <v>231</v>
      </c>
      <c r="B17" s="27"/>
      <c r="C17" s="15"/>
      <c r="D17" s="215"/>
      <c r="E17" s="15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t="s" s="218">
        <v>2</v>
      </c>
      <c r="S17" s="195"/>
    </row>
    <row r="18" ht="20.35" customHeight="1">
      <c r="A18" t="s" s="24">
        <v>232</v>
      </c>
      <c r="B18" s="29">
        <f>($D$18*B11)</f>
        <v>266017.5</v>
      </c>
      <c r="C18" s="18"/>
      <c r="D18" s="219">
        <f>'Assumptions'!C45</f>
        <v>0.5629999999999999</v>
      </c>
      <c r="E18" t="s" s="19">
        <v>2</v>
      </c>
      <c r="F18" s="220">
        <f>(F11*$D$18)</f>
        <v>18248.8005</v>
      </c>
      <c r="G18" s="220">
        <f>(G11*$D$18)</f>
        <v>18355.2075</v>
      </c>
      <c r="H18" s="220">
        <f>(H11*$D$18)</f>
        <v>19977.91425</v>
      </c>
      <c r="I18" s="220">
        <f>(I11*$D$18)</f>
        <v>17530.55325</v>
      </c>
      <c r="J18" s="220">
        <f>(J11*$D$18)</f>
        <v>24074.58375</v>
      </c>
      <c r="K18" s="220">
        <f>(K11*$D$18)</f>
        <v>20323.737</v>
      </c>
      <c r="L18" s="220">
        <f>(L11*$D$18)</f>
        <v>21414.40875</v>
      </c>
      <c r="M18" s="220">
        <f>(M11*$D$18)</f>
        <v>21973.0455</v>
      </c>
      <c r="N18" s="220">
        <f>(N11*$D$18)</f>
        <v>20031.11775</v>
      </c>
      <c r="O18" s="220">
        <f>(O11*$D$18)</f>
        <v>20403.54225</v>
      </c>
      <c r="P18" s="220">
        <f>(P11*$D$18)</f>
        <v>23116.92075</v>
      </c>
      <c r="Q18" s="220">
        <f>(Q11*$D$18)</f>
        <v>40541.067</v>
      </c>
      <c r="R18" s="220">
        <f>SUM(F18:Q18)</f>
        <v>265990.89825</v>
      </c>
      <c r="S18" s="221">
        <f>(R18/$R$11)</f>
        <v>0.5629999999999999</v>
      </c>
    </row>
    <row r="19" ht="20.35" customHeight="1">
      <c r="A19" s="17"/>
      <c r="B19" s="27"/>
      <c r="C19" s="15"/>
      <c r="D19" t="s" s="222">
        <v>2</v>
      </c>
      <c r="E19" s="1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t="s" s="218">
        <v>2</v>
      </c>
      <c r="S19" t="s" s="218">
        <v>2</v>
      </c>
    </row>
    <row r="20" ht="20.35" customHeight="1">
      <c r="A20" t="s" s="223">
        <v>233</v>
      </c>
      <c r="B20" s="29"/>
      <c r="C20" s="18"/>
      <c r="D20" s="18"/>
      <c r="E20" s="18"/>
      <c r="F20" t="s" s="213">
        <v>2</v>
      </c>
      <c r="G20" t="s" s="213">
        <v>2</v>
      </c>
      <c r="H20" t="s" s="213">
        <v>2</v>
      </c>
      <c r="I20" t="s" s="213">
        <v>2</v>
      </c>
      <c r="J20" t="s" s="213">
        <v>2</v>
      </c>
      <c r="K20" t="s" s="213">
        <v>2</v>
      </c>
      <c r="L20" t="s" s="213">
        <v>2</v>
      </c>
      <c r="M20" t="s" s="213">
        <v>2</v>
      </c>
      <c r="N20" t="s" s="213">
        <v>2</v>
      </c>
      <c r="O20" t="s" s="213">
        <v>2</v>
      </c>
      <c r="P20" t="s" s="213">
        <v>2</v>
      </c>
      <c r="Q20" t="s" s="213">
        <v>2</v>
      </c>
      <c r="R20" t="s" s="213">
        <v>2</v>
      </c>
      <c r="S20" t="s" s="213">
        <v>2</v>
      </c>
    </row>
    <row r="21" ht="20.35" customHeight="1">
      <c r="A21" t="s" s="24">
        <v>208</v>
      </c>
      <c r="B21" s="27">
        <f>(B11*D21)</f>
        <v>90720</v>
      </c>
      <c r="C21" s="15"/>
      <c r="D21" s="215">
        <f>'Industry Averages'!C23</f>
        <v>0.192</v>
      </c>
      <c r="E21" s="15"/>
      <c r="F21" s="211">
        <f>'Proforma P&amp;L Year 3'!F17</f>
        <v>7704.986301369870</v>
      </c>
      <c r="G21" s="211">
        <f>'Proforma P&amp;L Year 3'!G17</f>
        <v>6959.342465753430</v>
      </c>
      <c r="H21" s="211">
        <f>'Proforma P&amp;L Year 3'!H17</f>
        <v>7704.986301369870</v>
      </c>
      <c r="I21" s="211">
        <f>'Proforma P&amp;L Year 3'!I17</f>
        <v>7456.438356164380</v>
      </c>
      <c r="J21" s="211">
        <f>'Proforma P&amp;L Year 3'!J17</f>
        <v>7704.986301369870</v>
      </c>
      <c r="K21" s="211">
        <f>'Proforma P&amp;L Year 3'!K17</f>
        <v>7456.438356164380</v>
      </c>
      <c r="L21" s="211">
        <f>'Proforma P&amp;L Year 3'!L17</f>
        <v>7704.986301369870</v>
      </c>
      <c r="M21" s="211">
        <f>'Proforma P&amp;L Year 3'!M17</f>
        <v>7704.986301369870</v>
      </c>
      <c r="N21" s="211">
        <f>'Proforma P&amp;L Year 3'!N17</f>
        <v>7456.438356164380</v>
      </c>
      <c r="O21" s="211">
        <f>'Proforma P&amp;L Year 3'!O17</f>
        <v>7704.986301369870</v>
      </c>
      <c r="P21" s="211">
        <f>'Proforma P&amp;L Year 3'!P17</f>
        <v>7456.438356164380</v>
      </c>
      <c r="Q21" s="211">
        <f>'Proforma P&amp;L Year 3'!Q17</f>
        <v>7704.986301369870</v>
      </c>
      <c r="R21" s="211">
        <f>SUM(F21:Q21)</f>
        <v>90720</v>
      </c>
      <c r="S21" s="216">
        <f>(R21/$R$11)</f>
        <v>0.192019201920192</v>
      </c>
    </row>
    <row r="22" ht="14.35" customHeight="1">
      <c r="A22" t="s" s="24">
        <v>86</v>
      </c>
      <c r="B22" s="224">
        <f>'Assumptions'!B26</f>
        <v>35000</v>
      </c>
      <c r="C22" s="199"/>
      <c r="D22" s="219">
        <f>(B22/B11)</f>
        <v>0.0740740740740741</v>
      </c>
      <c r="E22" t="s" s="225">
        <v>2</v>
      </c>
      <c r="F22" s="226">
        <f>($B$22/12)</f>
        <v>2916.666666666670</v>
      </c>
      <c r="G22" s="226">
        <f>($B$22/12)</f>
        <v>2916.666666666670</v>
      </c>
      <c r="H22" s="226">
        <f>($B$22/12)</f>
        <v>2916.666666666670</v>
      </c>
      <c r="I22" s="226">
        <f>($B$22/12)</f>
        <v>2916.666666666670</v>
      </c>
      <c r="J22" s="226">
        <f>($B$22/12)</f>
        <v>2916.666666666670</v>
      </c>
      <c r="K22" s="226">
        <f>($B$22/12)</f>
        <v>2916.666666666670</v>
      </c>
      <c r="L22" s="226">
        <f>($B$22/12)</f>
        <v>2916.666666666670</v>
      </c>
      <c r="M22" s="226">
        <f>($B$22/12)</f>
        <v>2916.666666666670</v>
      </c>
      <c r="N22" s="226">
        <f>($B$22/12)</f>
        <v>2916.666666666670</v>
      </c>
      <c r="O22" s="226">
        <f>($B$22/12)</f>
        <v>2916.666666666670</v>
      </c>
      <c r="P22" s="226">
        <f>($B$22/12)</f>
        <v>2916.666666666670</v>
      </c>
      <c r="Q22" s="226">
        <f>($B$22/12)</f>
        <v>2916.666666666670</v>
      </c>
      <c r="R22" s="226">
        <f>SUM(F22:Q22)</f>
        <v>35000</v>
      </c>
      <c r="S22" s="227">
        <f>(R22/$R$11)</f>
        <v>0.0740814822222963</v>
      </c>
    </row>
    <row r="23" ht="20.35" customHeight="1">
      <c r="A23" t="s" s="24">
        <v>239</v>
      </c>
      <c r="B23" s="27">
        <f>($B$11*$D23)</f>
        <v>6142.5</v>
      </c>
      <c r="C23" s="15"/>
      <c r="D23" s="228">
        <f>'Industry Averages'!C26+'Industry Averages'!C27+'Industry Averages'!C28</f>
        <v>0.013</v>
      </c>
      <c r="E23" s="15"/>
      <c r="F23" s="211">
        <f>($B23/12)</f>
        <v>511.875</v>
      </c>
      <c r="G23" s="211">
        <f>($B23/12)</f>
        <v>511.875</v>
      </c>
      <c r="H23" s="211">
        <f>($B23/12)</f>
        <v>511.875</v>
      </c>
      <c r="I23" s="211">
        <f>($B23/12)</f>
        <v>511.875</v>
      </c>
      <c r="J23" s="211">
        <f>($B23/12)</f>
        <v>511.875</v>
      </c>
      <c r="K23" s="211">
        <f>($B23/12)</f>
        <v>511.875</v>
      </c>
      <c r="L23" s="211">
        <f>($B23/12)</f>
        <v>511.875</v>
      </c>
      <c r="M23" s="211">
        <f>($B23/12)</f>
        <v>511.875</v>
      </c>
      <c r="N23" s="211">
        <f>($B23/12)</f>
        <v>511.875</v>
      </c>
      <c r="O23" s="211">
        <f>($B23/12)</f>
        <v>511.875</v>
      </c>
      <c r="P23" s="211">
        <f>($B23/12)</f>
        <v>511.875</v>
      </c>
      <c r="Q23" s="211">
        <f>($B23/12)</f>
        <v>511.875</v>
      </c>
      <c r="R23" s="211">
        <f>SUM(F23:Q23)</f>
        <v>6142.5</v>
      </c>
      <c r="S23" s="216">
        <f>(R23/$R$11)</f>
        <v>0.013001300130013</v>
      </c>
    </row>
    <row r="24" ht="20.35" customHeight="1">
      <c r="A24" t="s" s="24">
        <v>210</v>
      </c>
      <c r="B24" s="29">
        <f>($B$11*$D24)</f>
        <v>9450</v>
      </c>
      <c r="C24" s="18"/>
      <c r="D24" s="219">
        <f>'Assumptions'!C50</f>
        <v>0.02</v>
      </c>
      <c r="E24" t="s" s="19">
        <v>2</v>
      </c>
      <c r="F24" s="220">
        <f>(F11*$D$24)</f>
        <v>648.27</v>
      </c>
      <c r="G24" s="220">
        <f>(G11*$D$24)</f>
        <v>652.05</v>
      </c>
      <c r="H24" s="220">
        <f>(H11*$D$24)</f>
        <v>709.6950000000001</v>
      </c>
      <c r="I24" s="220">
        <f>(I11*$D$24)</f>
        <v>622.755</v>
      </c>
      <c r="J24" s="220">
        <f>(J11*$D$24)</f>
        <v>855.225</v>
      </c>
      <c r="K24" s="220">
        <f>(K11*$D$24)</f>
        <v>721.98</v>
      </c>
      <c r="L24" s="220">
        <f>(L11*$D$24)</f>
        <v>760.725</v>
      </c>
      <c r="M24" s="220">
        <f>(M11*$D$24)</f>
        <v>780.5700000000001</v>
      </c>
      <c r="N24" s="220">
        <f>(N11*$D$24)</f>
        <v>711.585</v>
      </c>
      <c r="O24" s="220">
        <f>(O11*$D$24)</f>
        <v>724.8150000000001</v>
      </c>
      <c r="P24" s="220">
        <f>(P11*$D$24)</f>
        <v>821.205</v>
      </c>
      <c r="Q24" s="220">
        <f>(Q11*$D$24)</f>
        <v>1440.18</v>
      </c>
      <c r="R24" s="220">
        <f>SUM(F24:Q24)</f>
        <v>9449.055</v>
      </c>
      <c r="S24" s="221">
        <f>(R24/$R$11)</f>
        <v>0.02</v>
      </c>
    </row>
    <row r="25" ht="20.35" customHeight="1">
      <c r="A25" t="s" s="24">
        <v>95</v>
      </c>
      <c r="B25" s="27">
        <f>($B$11*$D25)</f>
        <v>2835</v>
      </c>
      <c r="C25" s="15"/>
      <c r="D25" s="215">
        <f>'Industry Averages'!C33</f>
        <v>0.006</v>
      </c>
      <c r="E25" s="15"/>
      <c r="F25" s="211">
        <f>($B$25/12)</f>
        <v>236.25</v>
      </c>
      <c r="G25" s="211">
        <f>($B$25/12)</f>
        <v>236.25</v>
      </c>
      <c r="H25" s="211">
        <f>($B$25/12)</f>
        <v>236.25</v>
      </c>
      <c r="I25" s="211">
        <f>($B$25/12)</f>
        <v>236.25</v>
      </c>
      <c r="J25" s="211">
        <f>($B$25/12)</f>
        <v>236.25</v>
      </c>
      <c r="K25" s="211">
        <f>($B$25/12)</f>
        <v>236.25</v>
      </c>
      <c r="L25" s="211">
        <f>($B$25/12)</f>
        <v>236.25</v>
      </c>
      <c r="M25" s="211">
        <f>($B$25/12)</f>
        <v>236.25</v>
      </c>
      <c r="N25" s="211">
        <f>($B$25/12)</f>
        <v>236.25</v>
      </c>
      <c r="O25" s="211">
        <f>($B$25/12)</f>
        <v>236.25</v>
      </c>
      <c r="P25" s="211">
        <f>($B$25/12)</f>
        <v>236.25</v>
      </c>
      <c r="Q25" s="211">
        <f>($B$25/12)</f>
        <v>236.25</v>
      </c>
      <c r="R25" s="211">
        <f>SUM(F25:Q25)</f>
        <v>2835</v>
      </c>
      <c r="S25" s="216">
        <f>(R25/$R$11)</f>
        <v>0.006000600060006</v>
      </c>
    </row>
    <row r="26" ht="20.35" customHeight="1">
      <c r="A26" t="s" s="24">
        <v>162</v>
      </c>
      <c r="B26" s="29">
        <f>($B$11*$D26)</f>
        <v>2835</v>
      </c>
      <c r="C26" s="18"/>
      <c r="D26" s="229">
        <f>'Industry Averages'!C34</f>
        <v>0.006</v>
      </c>
      <c r="E26" s="18"/>
      <c r="F26" s="220">
        <f>($B$26/12)</f>
        <v>236.25</v>
      </c>
      <c r="G26" s="220">
        <f>($B$26/12)</f>
        <v>236.25</v>
      </c>
      <c r="H26" s="220">
        <f>($B$26/12)</f>
        <v>236.25</v>
      </c>
      <c r="I26" s="220">
        <f>($B$26/12)</f>
        <v>236.25</v>
      </c>
      <c r="J26" s="220">
        <f>($B$26/12)</f>
        <v>236.25</v>
      </c>
      <c r="K26" s="220">
        <f>($B$26/12)</f>
        <v>236.25</v>
      </c>
      <c r="L26" s="220">
        <f>($B$26/12)</f>
        <v>236.25</v>
      </c>
      <c r="M26" s="220">
        <f>($B$26/12)</f>
        <v>236.25</v>
      </c>
      <c r="N26" s="220">
        <f>($B$26/12)</f>
        <v>236.25</v>
      </c>
      <c r="O26" s="220">
        <f>($B$26/12)</f>
        <v>236.25</v>
      </c>
      <c r="P26" s="220">
        <f>($B$26/12)</f>
        <v>236.25</v>
      </c>
      <c r="Q26" s="220">
        <f>($B$26/12)</f>
        <v>236.25</v>
      </c>
      <c r="R26" s="220">
        <f>SUM(F26:Q26)</f>
        <v>2835</v>
      </c>
      <c r="S26" s="221">
        <f>(R26/$R$11)</f>
        <v>0.006000600060006</v>
      </c>
    </row>
    <row r="27" ht="20.35" customHeight="1">
      <c r="A27" t="s" s="24">
        <v>211</v>
      </c>
      <c r="B27" s="27">
        <f>($B$11*$D27)</f>
        <v>4725</v>
      </c>
      <c r="C27" s="15"/>
      <c r="D27" s="215">
        <f>'Industry Averages'!C35</f>
        <v>0.01</v>
      </c>
      <c r="E27" s="15"/>
      <c r="F27" s="211">
        <f>($B$27/12)</f>
        <v>393.75</v>
      </c>
      <c r="G27" s="211">
        <f>($B$27/12)</f>
        <v>393.75</v>
      </c>
      <c r="H27" s="211">
        <f>($B$27/12)</f>
        <v>393.75</v>
      </c>
      <c r="I27" s="211">
        <f>($B$27/12)</f>
        <v>393.75</v>
      </c>
      <c r="J27" s="211">
        <f>($B$27/12)</f>
        <v>393.75</v>
      </c>
      <c r="K27" s="211">
        <f>($B$27/12)</f>
        <v>393.75</v>
      </c>
      <c r="L27" s="211">
        <f>($B$27/12)</f>
        <v>393.75</v>
      </c>
      <c r="M27" s="211">
        <f>($B$27/12)</f>
        <v>393.75</v>
      </c>
      <c r="N27" s="211">
        <f>($B$27/12)</f>
        <v>393.75</v>
      </c>
      <c r="O27" s="211">
        <f>($B$27/12)</f>
        <v>393.75</v>
      </c>
      <c r="P27" s="211">
        <f>($B$27/12)</f>
        <v>393.75</v>
      </c>
      <c r="Q27" s="211">
        <f>($B$27/12)</f>
        <v>393.75</v>
      </c>
      <c r="R27" s="211">
        <f>SUM(F27:Q27)</f>
        <v>4725</v>
      </c>
      <c r="S27" s="216">
        <f>(R27/$R$11)</f>
        <v>0.01000100010001</v>
      </c>
    </row>
    <row r="28" ht="20.35" customHeight="1">
      <c r="A28" t="s" s="24">
        <v>212</v>
      </c>
      <c r="B28" s="29">
        <f>($B$11*$D28)</f>
        <v>3307.5</v>
      </c>
      <c r="C28" s="18"/>
      <c r="D28" s="229">
        <f>'Industry Averages'!C37</f>
        <v>0.007</v>
      </c>
      <c r="E28" s="18"/>
      <c r="F28" t="s" s="213">
        <v>2</v>
      </c>
      <c r="G28" s="220">
        <f>($B$28/2)</f>
        <v>1653.75</v>
      </c>
      <c r="H28" t="s" s="213">
        <v>2</v>
      </c>
      <c r="I28" t="s" s="213">
        <v>2</v>
      </c>
      <c r="J28" t="s" s="213">
        <v>2</v>
      </c>
      <c r="K28" t="s" s="213">
        <v>2</v>
      </c>
      <c r="L28" t="s" s="213">
        <v>2</v>
      </c>
      <c r="M28" t="s" s="213">
        <v>2</v>
      </c>
      <c r="N28" t="s" s="213">
        <v>2</v>
      </c>
      <c r="O28" s="220">
        <f>($B$28/2)</f>
        <v>1653.75</v>
      </c>
      <c r="P28" t="s" s="213">
        <v>2</v>
      </c>
      <c r="Q28" t="s" s="213">
        <v>2</v>
      </c>
      <c r="R28" s="220">
        <f>SUM(F28:Q28)</f>
        <v>3307.5</v>
      </c>
      <c r="S28" s="221">
        <f>(R28/$R$11)</f>
        <v>0.007000700070007</v>
      </c>
    </row>
    <row r="29" ht="20.35" customHeight="1">
      <c r="A29" t="s" s="24">
        <v>213</v>
      </c>
      <c r="B29" s="27">
        <f>($B$11*$D29)</f>
        <v>2835</v>
      </c>
      <c r="C29" s="15"/>
      <c r="D29" s="215">
        <f>'Industry Averages'!C38</f>
        <v>0.006</v>
      </c>
      <c r="E29" s="15"/>
      <c r="F29" t="s" s="218">
        <v>2</v>
      </c>
      <c r="G29" t="s" s="218">
        <v>2</v>
      </c>
      <c r="H29" t="s" s="218">
        <v>2</v>
      </c>
      <c r="I29" t="s" s="218">
        <v>2</v>
      </c>
      <c r="J29" s="211">
        <f>B29</f>
        <v>2835</v>
      </c>
      <c r="K29" t="s" s="218">
        <v>2</v>
      </c>
      <c r="L29" t="s" s="218">
        <v>2</v>
      </c>
      <c r="M29" t="s" s="218">
        <v>2</v>
      </c>
      <c r="N29" t="s" s="218">
        <v>2</v>
      </c>
      <c r="O29" t="s" s="218">
        <v>2</v>
      </c>
      <c r="P29" t="s" s="218">
        <v>2</v>
      </c>
      <c r="Q29" t="s" s="218">
        <v>2</v>
      </c>
      <c r="R29" s="211">
        <f>SUM(F29:Q29)</f>
        <v>2835</v>
      </c>
      <c r="S29" s="216">
        <f>(R29/$R$11)</f>
        <v>0.006000600060006</v>
      </c>
    </row>
    <row r="30" ht="20.35" customHeight="1">
      <c r="A30" t="s" s="24">
        <v>214</v>
      </c>
      <c r="B30" s="29">
        <f>($B$11*$D30)</f>
        <v>9450</v>
      </c>
      <c r="C30" s="18"/>
      <c r="D30" s="229">
        <f>'Industry Averages'!C40</f>
        <v>0.02</v>
      </c>
      <c r="E30" s="18"/>
      <c r="F30" s="220">
        <f>(F11*$D$30)</f>
        <v>648.27</v>
      </c>
      <c r="G30" s="220">
        <f>(G11*$D$30)</f>
        <v>652.05</v>
      </c>
      <c r="H30" s="220">
        <f>(H11*$D$30)</f>
        <v>709.6950000000001</v>
      </c>
      <c r="I30" s="220">
        <f>(I11*$D$30)</f>
        <v>622.755</v>
      </c>
      <c r="J30" s="220">
        <f>(J11*$D$30)</f>
        <v>855.225</v>
      </c>
      <c r="K30" s="220">
        <f>(K11*$D$30)</f>
        <v>721.98</v>
      </c>
      <c r="L30" s="220">
        <f>(L11*$D$30)</f>
        <v>760.725</v>
      </c>
      <c r="M30" s="220">
        <f>(M11*$D$30)</f>
        <v>780.5700000000001</v>
      </c>
      <c r="N30" s="220">
        <f>(N11*$D$30)</f>
        <v>711.585</v>
      </c>
      <c r="O30" s="220">
        <f>(O11*$D$30)</f>
        <v>724.8150000000001</v>
      </c>
      <c r="P30" s="220">
        <f>(P11*$D$30)</f>
        <v>821.205</v>
      </c>
      <c r="Q30" s="220">
        <f>(Q11*$D$30)</f>
        <v>1440.18</v>
      </c>
      <c r="R30" s="220">
        <f>SUM(F30:Q30)</f>
        <v>9449.055</v>
      </c>
      <c r="S30" s="221">
        <f>(R30/$R$11)</f>
        <v>0.02</v>
      </c>
    </row>
    <row r="31" ht="20.35" customHeight="1">
      <c r="A31" t="s" s="24">
        <v>175</v>
      </c>
      <c r="B31" s="27">
        <f>($B$11*$D31)</f>
        <v>1890</v>
      </c>
      <c r="C31" s="15"/>
      <c r="D31" s="215">
        <f>'Industry Averages'!C41</f>
        <v>0.004</v>
      </c>
      <c r="E31" s="15"/>
      <c r="F31" s="211">
        <f>($B$31/2)</f>
        <v>945</v>
      </c>
      <c r="G31" t="s" s="218">
        <v>2</v>
      </c>
      <c r="H31" t="s" s="218">
        <v>2</v>
      </c>
      <c r="I31" t="s" s="218">
        <v>2</v>
      </c>
      <c r="J31" t="s" s="218">
        <v>2</v>
      </c>
      <c r="K31" t="s" s="218">
        <v>2</v>
      </c>
      <c r="L31" s="211">
        <f>($B$31/2)</f>
        <v>945</v>
      </c>
      <c r="M31" t="s" s="218">
        <v>2</v>
      </c>
      <c r="N31" t="s" s="218">
        <v>2</v>
      </c>
      <c r="O31" t="s" s="218">
        <v>2</v>
      </c>
      <c r="P31" t="s" s="218">
        <v>2</v>
      </c>
      <c r="Q31" t="s" s="218">
        <v>2</v>
      </c>
      <c r="R31" s="211">
        <f>SUM(F31:Q31)</f>
        <v>1890</v>
      </c>
      <c r="S31" s="216">
        <f>(R31/$R$11)</f>
        <v>0.004000400040004</v>
      </c>
    </row>
    <row r="32" ht="20.35" customHeight="1">
      <c r="A32" t="s" s="24">
        <v>111</v>
      </c>
      <c r="B32" s="29">
        <f>($B$11*$D32)</f>
        <v>2835</v>
      </c>
      <c r="C32" s="18"/>
      <c r="D32" s="229">
        <f>'Industry Averages'!C42</f>
        <v>0.006</v>
      </c>
      <c r="E32" s="18"/>
      <c r="F32" t="s" s="213">
        <v>2</v>
      </c>
      <c r="G32" t="s" s="213">
        <v>2</v>
      </c>
      <c r="H32" s="220">
        <f>($B$32/3)</f>
        <v>945</v>
      </c>
      <c r="I32" t="s" s="213">
        <v>2</v>
      </c>
      <c r="J32" t="s" s="213">
        <v>2</v>
      </c>
      <c r="K32" s="220">
        <f>($B$32/3)</f>
        <v>945</v>
      </c>
      <c r="L32" t="s" s="213">
        <v>2</v>
      </c>
      <c r="M32" t="s" s="213">
        <v>2</v>
      </c>
      <c r="N32" t="s" s="213">
        <v>2</v>
      </c>
      <c r="O32" t="s" s="213">
        <v>2</v>
      </c>
      <c r="P32" s="220">
        <f>($B$32/3)</f>
        <v>945</v>
      </c>
      <c r="Q32" t="s" s="213">
        <v>2</v>
      </c>
      <c r="R32" s="220">
        <f>SUM(F32:Q32)</f>
        <v>2835</v>
      </c>
      <c r="S32" s="221">
        <f>(R32/$R$11)</f>
        <v>0.006000600060006</v>
      </c>
    </row>
    <row r="33" ht="20.35" customHeight="1">
      <c r="A33" t="s" s="24">
        <v>215</v>
      </c>
      <c r="B33" s="27">
        <f>($B$11*$D33)</f>
        <v>1417.5</v>
      </c>
      <c r="C33" s="15"/>
      <c r="D33" s="215">
        <f>'Industry Averages'!C43</f>
        <v>0.003</v>
      </c>
      <c r="E33" s="15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>
        <f>B33</f>
        <v>1417.5</v>
      </c>
      <c r="R33" s="211">
        <f>SUM(F33:Q33)</f>
        <v>1417.5</v>
      </c>
      <c r="S33" s="216">
        <f>(R33/$R$11)</f>
        <v>0.003000300030003</v>
      </c>
    </row>
    <row r="34" ht="20.35" customHeight="1">
      <c r="A34" t="s" s="24">
        <v>216</v>
      </c>
      <c r="B34" s="29">
        <f>($B$11*$D34)</f>
        <v>1417.5</v>
      </c>
      <c r="C34" s="18"/>
      <c r="D34" s="229">
        <f>'Industry Averages'!C44</f>
        <v>0.003</v>
      </c>
      <c r="E34" s="18"/>
      <c r="F34" s="220">
        <f>($B$34/12)</f>
        <v>118.125</v>
      </c>
      <c r="G34" s="220">
        <f>($B$34/12)</f>
        <v>118.125</v>
      </c>
      <c r="H34" s="220">
        <f>($B$34/12)</f>
        <v>118.125</v>
      </c>
      <c r="I34" s="220">
        <f>($B$34/12)</f>
        <v>118.125</v>
      </c>
      <c r="J34" s="220">
        <f>($B$34/12)</f>
        <v>118.125</v>
      </c>
      <c r="K34" s="220">
        <f>($B$34/12)</f>
        <v>118.125</v>
      </c>
      <c r="L34" s="220">
        <f>($B$34/12)</f>
        <v>118.125</v>
      </c>
      <c r="M34" s="220">
        <f>($B$34/12)</f>
        <v>118.125</v>
      </c>
      <c r="N34" s="220">
        <f>($B$34/12)</f>
        <v>118.125</v>
      </c>
      <c r="O34" s="220">
        <f>($B$34/12)</f>
        <v>118.125</v>
      </c>
      <c r="P34" s="220">
        <f>($B$34/12)</f>
        <v>118.125</v>
      </c>
      <c r="Q34" s="220">
        <f>($B$34/12)</f>
        <v>118.125</v>
      </c>
      <c r="R34" s="220">
        <f>SUM(F34:Q34)</f>
        <v>1417.5</v>
      </c>
      <c r="S34" s="221">
        <f>(R34/$R$11)</f>
        <v>0.003000300030003</v>
      </c>
    </row>
    <row r="35" ht="20.35" customHeight="1">
      <c r="A35" t="s" s="24">
        <v>115</v>
      </c>
      <c r="B35" s="27">
        <f>($B$11*$D35)</f>
        <v>1417.5</v>
      </c>
      <c r="C35" s="15"/>
      <c r="D35" s="215">
        <f>'Industry Averages'!C45</f>
        <v>0.003</v>
      </c>
      <c r="E35" s="15"/>
      <c r="F35" s="211">
        <f>($B$35/12)</f>
        <v>118.125</v>
      </c>
      <c r="G35" s="211">
        <f>($B$35/12)</f>
        <v>118.125</v>
      </c>
      <c r="H35" s="211">
        <f>($B$35/12)</f>
        <v>118.125</v>
      </c>
      <c r="I35" s="211">
        <f>($B$35/12)</f>
        <v>118.125</v>
      </c>
      <c r="J35" s="211">
        <f>($B$35/12)</f>
        <v>118.125</v>
      </c>
      <c r="K35" s="211">
        <f>($B$35/12)</f>
        <v>118.125</v>
      </c>
      <c r="L35" s="211">
        <f>($B$35/12)</f>
        <v>118.125</v>
      </c>
      <c r="M35" s="211">
        <f>($B$35/12)</f>
        <v>118.125</v>
      </c>
      <c r="N35" s="211">
        <f>($B$35/12)</f>
        <v>118.125</v>
      </c>
      <c r="O35" s="211">
        <f>($B$35/12)</f>
        <v>118.125</v>
      </c>
      <c r="P35" s="211">
        <f>($B$35/12)</f>
        <v>118.125</v>
      </c>
      <c r="Q35" s="211">
        <f>($B$35/12)</f>
        <v>118.125</v>
      </c>
      <c r="R35" s="211">
        <f>SUM(F35:Q35)</f>
        <v>1417.5</v>
      </c>
      <c r="S35" s="216">
        <f>(R35/$R$11)</f>
        <v>0.003000300030003</v>
      </c>
    </row>
    <row r="36" ht="20.35" customHeight="1">
      <c r="A36" t="s" s="24">
        <v>217</v>
      </c>
      <c r="B36" s="29">
        <f>($B$11*$D36)</f>
        <v>2835</v>
      </c>
      <c r="C36" s="18"/>
      <c r="D36" s="229">
        <f>'Industry Averages'!C46</f>
        <v>0.006</v>
      </c>
      <c r="E36" s="18"/>
      <c r="F36" s="220">
        <f>($B$36/12)</f>
        <v>236.25</v>
      </c>
      <c r="G36" s="220">
        <f>($B$36/12)</f>
        <v>236.25</v>
      </c>
      <c r="H36" s="220">
        <f>($B$36/12)</f>
        <v>236.25</v>
      </c>
      <c r="I36" s="220">
        <f>($B$36/12)</f>
        <v>236.25</v>
      </c>
      <c r="J36" s="220">
        <f>($B$36/12)</f>
        <v>236.25</v>
      </c>
      <c r="K36" s="220">
        <f>($B$36/12)</f>
        <v>236.25</v>
      </c>
      <c r="L36" s="220">
        <f>($B$36/12)</f>
        <v>236.25</v>
      </c>
      <c r="M36" s="220">
        <f>($B$36/12)</f>
        <v>236.25</v>
      </c>
      <c r="N36" s="220">
        <f>($B$36/12)</f>
        <v>236.25</v>
      </c>
      <c r="O36" s="220">
        <f>($B$36/12)</f>
        <v>236.25</v>
      </c>
      <c r="P36" s="220">
        <f>($B$36/12)</f>
        <v>236.25</v>
      </c>
      <c r="Q36" s="220">
        <f>($B$36/12)</f>
        <v>236.25</v>
      </c>
      <c r="R36" s="220">
        <f>SUM(F36:Q36)</f>
        <v>2835</v>
      </c>
      <c r="S36" s="221">
        <f>(R36/$R$11)</f>
        <v>0.006000600060006</v>
      </c>
    </row>
    <row r="37" ht="20.35" customHeight="1">
      <c r="A37" t="s" s="230">
        <v>2</v>
      </c>
      <c r="B37" s="27"/>
      <c r="C37" s="15"/>
      <c r="D37" s="15"/>
      <c r="E37" s="1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t="s" s="218">
        <v>2</v>
      </c>
      <c r="R37" s="211"/>
      <c r="S37" t="s" s="218">
        <v>2</v>
      </c>
    </row>
    <row r="38" ht="20.35" customHeight="1">
      <c r="A38" t="s" s="24">
        <v>234</v>
      </c>
      <c r="B38" s="29">
        <f>SUM(B18:B36)</f>
        <v>445130</v>
      </c>
      <c r="C38" s="18"/>
      <c r="D38" s="18"/>
      <c r="E38" s="18"/>
      <c r="F38" s="220">
        <f>SUM(F18:F37)</f>
        <v>32962.6184680365</v>
      </c>
      <c r="G38" s="220">
        <f>SUM(G18:G37)</f>
        <v>33039.6916324201</v>
      </c>
      <c r="H38" s="220">
        <f>SUM(H18:H37)</f>
        <v>34814.5822180365</v>
      </c>
      <c r="I38" s="220">
        <f>SUM(I18:I37)</f>
        <v>30999.7932728311</v>
      </c>
      <c r="J38" s="220">
        <f>SUM(J18:J37)</f>
        <v>41092.3117180365</v>
      </c>
      <c r="K38" s="220">
        <f>SUM(K18:K37)</f>
        <v>34936.4270228311</v>
      </c>
      <c r="L38" s="220">
        <f>SUM(L18:L37)</f>
        <v>36353.1367180365</v>
      </c>
      <c r="M38" s="220">
        <f>SUM(M18:M37)</f>
        <v>36006.4634680365</v>
      </c>
      <c r="N38" s="220">
        <f>SUM(N18:N37)</f>
        <v>33678.0177728311</v>
      </c>
      <c r="O38" s="220">
        <f>SUM(O18:O37)</f>
        <v>35979.2002180365</v>
      </c>
      <c r="P38" s="220">
        <f>SUM(P18:P37)</f>
        <v>37928.0607728311</v>
      </c>
      <c r="Q38" s="220">
        <f>SUM(Q18:Q37)</f>
        <v>57311.2049680365</v>
      </c>
      <c r="R38" s="220">
        <f>SUM(R18:R37)</f>
        <v>445101.50825</v>
      </c>
      <c r="S38" s="221">
        <f>(R38/$R$11)</f>
        <v>0.942107984872561</v>
      </c>
    </row>
    <row r="39" ht="20.35" customHeight="1">
      <c r="A39" s="17"/>
      <c r="B39" s="27"/>
      <c r="C39" s="15"/>
      <c r="D39" s="15"/>
      <c r="E39" s="1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</row>
    <row r="40" ht="14.35" customHeight="1">
      <c r="A40" t="s" s="36">
        <v>240</v>
      </c>
      <c r="B40" s="212">
        <f>(B15-B38)</f>
        <v>48169.6795</v>
      </c>
      <c r="C40" s="231"/>
      <c r="D40" s="231"/>
      <c r="E40" s="231"/>
      <c r="F40" s="232">
        <f>(F11-F38)</f>
        <v>-549.1184680365</v>
      </c>
      <c r="G40" s="232">
        <f>(G11-G38)</f>
        <v>-437.1916324201</v>
      </c>
      <c r="H40" s="232">
        <f>(H11-H38)</f>
        <v>670.1677819635</v>
      </c>
      <c r="I40" s="232">
        <f>(I11-I38)</f>
        <v>137.9567271689</v>
      </c>
      <c r="J40" s="232">
        <f>(J11-J38)</f>
        <v>1668.9382819635</v>
      </c>
      <c r="K40" s="232">
        <f>(K11-K38)</f>
        <v>1162.5729771689</v>
      </c>
      <c r="L40" s="232">
        <f>(L11-L38)</f>
        <v>1683.1132819635</v>
      </c>
      <c r="M40" s="232">
        <f>(M11-M38)</f>
        <v>3022.0365319635</v>
      </c>
      <c r="N40" s="232">
        <f>(N11-N38)</f>
        <v>1901.2322271689</v>
      </c>
      <c r="O40" s="232">
        <f>(O11-O38)</f>
        <v>261.5497819635</v>
      </c>
      <c r="P40" s="232">
        <f>(P11-P38)</f>
        <v>3132.1892271689</v>
      </c>
      <c r="Q40" s="232">
        <f>(Q11-Q38)</f>
        <v>14697.7950319635</v>
      </c>
      <c r="R40" s="232">
        <f>SUM(F40:Q40)</f>
        <v>27351.24175</v>
      </c>
      <c r="S40" s="233">
        <f>R40/R11</f>
        <v>0.0578920151274387</v>
      </c>
    </row>
    <row r="41" ht="20.35" customHeight="1">
      <c r="A41" t="s" s="24">
        <v>219</v>
      </c>
      <c r="B41" s="27"/>
      <c r="C41" s="15"/>
      <c r="D41" s="15"/>
      <c r="E41" s="15"/>
      <c r="F41" s="211">
        <f>'Funding'!B15</f>
        <v>0</v>
      </c>
      <c r="G41" s="211">
        <f>$F$41</f>
        <v>0</v>
      </c>
      <c r="H41" s="211">
        <f>$F$41</f>
        <v>0</v>
      </c>
      <c r="I41" s="211">
        <f>$F$41</f>
        <v>0</v>
      </c>
      <c r="J41" s="211">
        <f>$F$41</f>
        <v>0</v>
      </c>
      <c r="K41" s="211">
        <f>$F$41</f>
        <v>0</v>
      </c>
      <c r="L41" s="211">
        <f>$F$41</f>
        <v>0</v>
      </c>
      <c r="M41" s="211">
        <f>$F$41</f>
        <v>0</v>
      </c>
      <c r="N41" s="211">
        <f>$F$41</f>
        <v>0</v>
      </c>
      <c r="O41" s="211">
        <f>$F$41</f>
        <v>0</v>
      </c>
      <c r="P41" s="211">
        <f>$F$41</f>
        <v>0</v>
      </c>
      <c r="Q41" s="211">
        <f>$F$41</f>
        <v>0</v>
      </c>
      <c r="R41" s="232">
        <f>SUM(F41:Q41)</f>
        <v>0</v>
      </c>
      <c r="S41" s="195"/>
    </row>
    <row r="42" ht="20.35" customHeight="1">
      <c r="A42" t="s" s="24">
        <v>236</v>
      </c>
      <c r="B42" s="29"/>
      <c r="C42" s="18"/>
      <c r="D42" s="18"/>
      <c r="E42" s="18"/>
      <c r="F42" s="220">
        <f>(F40-F41)</f>
        <v>-549.1184680365</v>
      </c>
      <c r="G42" s="220">
        <f>(G40-G41)</f>
        <v>-437.1916324201</v>
      </c>
      <c r="H42" s="220">
        <f>(H40-H41)</f>
        <v>670.1677819635</v>
      </c>
      <c r="I42" s="220">
        <f>(I40-I41)</f>
        <v>137.9567271689</v>
      </c>
      <c r="J42" s="220">
        <f>(J40-J41)</f>
        <v>1668.9382819635</v>
      </c>
      <c r="K42" s="220">
        <f>(K40-K41)</f>
        <v>1162.5729771689</v>
      </c>
      <c r="L42" s="220">
        <f>(L40-L41)</f>
        <v>1683.1132819635</v>
      </c>
      <c r="M42" s="220">
        <f>(M40-M41)</f>
        <v>3022.0365319635</v>
      </c>
      <c r="N42" s="220">
        <f>(N40-N41)</f>
        <v>1901.2322271689</v>
      </c>
      <c r="O42" s="220">
        <f>(O40-O41)</f>
        <v>261.5497819635</v>
      </c>
      <c r="P42" s="220">
        <f>(P40-P41)</f>
        <v>3132.1892271689</v>
      </c>
      <c r="Q42" s="220">
        <f>(Q40-Q41)</f>
        <v>14697.7950319635</v>
      </c>
      <c r="R42" s="232">
        <f>SUM(F42:Q42)</f>
        <v>27351.24175</v>
      </c>
      <c r="S42" s="200"/>
    </row>
    <row r="43" ht="20.35" customHeight="1">
      <c r="A43" t="s" s="111">
        <v>237</v>
      </c>
      <c r="B43" s="27"/>
      <c r="C43" s="15"/>
      <c r="D43" s="15"/>
      <c r="E43" s="1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235">
        <f>(B9+R42)</f>
        <v>48150.9212499998</v>
      </c>
      <c r="R43" s="195"/>
      <c r="S43" s="195"/>
    </row>
    <row r="44" ht="20.35" customHeight="1">
      <c r="A44" s="17"/>
      <c r="B44" s="29"/>
      <c r="C44" s="18"/>
      <c r="D44" s="18"/>
      <c r="E44" s="18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</row>
  </sheetData>
  <pageMargins left="0.5" right="0.5" top="0.5" bottom="0.5" header="0.25" footer="0.25"/>
  <pageSetup firstPageNumber="1" fitToHeight="1" fitToWidth="1" scale="54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53"/>
  <sheetViews>
    <sheetView workbookViewId="0" showGridLines="0" defaultGridColor="1"/>
  </sheetViews>
  <sheetFormatPr defaultColWidth="16.3333" defaultRowHeight="18" customHeight="1" outlineLevelRow="0" outlineLevelCol="0"/>
  <cols>
    <col min="1" max="1" width="26.6719" style="46" customWidth="1"/>
    <col min="2" max="2" width="9.85156" style="46" customWidth="1"/>
    <col min="3" max="3" width="16.3516" style="46" customWidth="1"/>
    <col min="4" max="4" width="4.85156" style="46" customWidth="1"/>
    <col min="5" max="5" width="45.3516" style="46" customWidth="1"/>
    <col min="6" max="16384" width="16.3516" style="46" customWidth="1"/>
  </cols>
  <sheetData>
    <row r="1" ht="53.2" customHeight="1">
      <c r="A1" t="s" s="47">
        <v>60</v>
      </c>
      <c r="B1" s="48"/>
      <c r="C1" s="48"/>
      <c r="D1" s="8"/>
      <c r="E1" s="8"/>
    </row>
    <row r="2" ht="20.55" customHeight="1">
      <c r="A2" t="s" s="49">
        <v>61</v>
      </c>
      <c r="B2" s="50"/>
      <c r="C2" s="51"/>
      <c r="D2" s="12"/>
      <c r="E2" s="12"/>
    </row>
    <row r="3" ht="20.35" customHeight="1">
      <c r="A3" t="s" s="52">
        <v>62</v>
      </c>
      <c r="B3" s="53"/>
      <c r="C3" s="54"/>
      <c r="D3" s="15"/>
      <c r="E3" s="15"/>
    </row>
    <row r="4" ht="20.35" customHeight="1">
      <c r="A4" t="s" s="55">
        <v>63</v>
      </c>
      <c r="B4" s="56">
        <v>292</v>
      </c>
      <c r="C4" s="57"/>
      <c r="D4" s="18"/>
      <c r="E4" s="18"/>
    </row>
    <row r="5" ht="26.7" customHeight="1">
      <c r="A5" s="17"/>
      <c r="B5" s="58"/>
      <c r="C5" t="s" s="59">
        <v>64</v>
      </c>
      <c r="D5" s="18"/>
      <c r="E5" t="s" s="60">
        <v>65</v>
      </c>
    </row>
    <row r="6" ht="20.35" customHeight="1">
      <c r="A6" t="s" s="55">
        <v>66</v>
      </c>
      <c r="B6" s="53"/>
      <c r="C6" s="61">
        <v>63</v>
      </c>
      <c r="D6" s="15"/>
      <c r="E6" t="s" s="62">
        <v>2</v>
      </c>
    </row>
    <row r="7" ht="20.35" customHeight="1">
      <c r="A7" t="s" s="55">
        <v>67</v>
      </c>
      <c r="B7" s="63"/>
      <c r="C7" s="64">
        <f>(C6/B4)</f>
        <v>0.215753424657534</v>
      </c>
      <c r="D7" s="18"/>
      <c r="E7" s="18"/>
    </row>
    <row r="8" ht="20.35" customHeight="1">
      <c r="A8" s="17"/>
      <c r="B8" s="20"/>
      <c r="C8" s="54"/>
      <c r="D8" s="15"/>
      <c r="E8" s="15"/>
    </row>
    <row r="9" ht="20.35" customHeight="1">
      <c r="A9" t="s" s="65">
        <v>68</v>
      </c>
      <c r="B9" s="66"/>
      <c r="C9" s="67">
        <v>1</v>
      </c>
      <c r="D9" s="18"/>
      <c r="E9" t="s" s="19">
        <v>69</v>
      </c>
    </row>
    <row r="10" ht="20.35" customHeight="1">
      <c r="A10" t="s" s="55">
        <v>70</v>
      </c>
      <c r="B10" s="68"/>
      <c r="C10" s="69">
        <v>0.771</v>
      </c>
      <c r="D10" s="15"/>
      <c r="E10" s="15"/>
    </row>
    <row r="11" ht="20.35" customHeight="1">
      <c r="A11" t="s" s="55">
        <v>71</v>
      </c>
      <c r="B11" s="70"/>
      <c r="C11" s="71">
        <v>0.054</v>
      </c>
      <c r="D11" s="18"/>
      <c r="E11" s="18"/>
    </row>
    <row r="12" ht="20.35" customHeight="1">
      <c r="A12" t="s" s="55">
        <v>72</v>
      </c>
      <c r="B12" s="68"/>
      <c r="C12" s="69">
        <v>0.175</v>
      </c>
      <c r="D12" s="15"/>
      <c r="E12" s="15"/>
    </row>
    <row r="13" ht="20.35" customHeight="1">
      <c r="A13" t="s" s="65">
        <v>73</v>
      </c>
      <c r="B13" s="72"/>
      <c r="C13" s="73">
        <v>0.531</v>
      </c>
      <c r="D13" s="18"/>
      <c r="E13" t="s" s="19">
        <v>74</v>
      </c>
    </row>
    <row r="14" ht="20.35" customHeight="1">
      <c r="A14" t="s" s="65">
        <v>75</v>
      </c>
      <c r="B14" s="74"/>
      <c r="C14" s="75">
        <f>(C9-C13)</f>
        <v>0.469</v>
      </c>
      <c r="D14" s="15"/>
      <c r="E14" t="s" s="16">
        <v>76</v>
      </c>
    </row>
    <row r="15" ht="20.35" customHeight="1">
      <c r="A15" s="17"/>
      <c r="B15" s="76"/>
      <c r="C15" s="71"/>
      <c r="D15" s="18"/>
      <c r="E15" s="18"/>
    </row>
    <row r="16" ht="20.35" customHeight="1">
      <c r="A16" t="s" s="65">
        <v>77</v>
      </c>
      <c r="B16" s="77"/>
      <c r="C16" s="69"/>
      <c r="D16" s="15"/>
      <c r="E16" s="15"/>
    </row>
    <row r="17" ht="20.35" customHeight="1">
      <c r="A17" t="s" s="55">
        <v>78</v>
      </c>
      <c r="B17" s="76"/>
      <c r="C17" s="71">
        <v>0.045</v>
      </c>
      <c r="D17" s="18"/>
      <c r="E17" s="18"/>
    </row>
    <row r="18" ht="20.35" customHeight="1">
      <c r="A18" t="s" s="55">
        <v>79</v>
      </c>
      <c r="B18" s="77"/>
      <c r="C18" s="69">
        <v>0.123</v>
      </c>
      <c r="D18" s="15"/>
      <c r="E18" t="s" s="16">
        <v>80</v>
      </c>
    </row>
    <row r="19" ht="20.35" customHeight="1">
      <c r="A19" t="s" s="55">
        <v>81</v>
      </c>
      <c r="B19" s="76"/>
      <c r="C19" s="71">
        <v>0.015</v>
      </c>
      <c r="D19" s="18"/>
      <c r="E19" s="18"/>
    </row>
    <row r="20" ht="20.35" customHeight="1">
      <c r="A20" t="s" s="55">
        <v>82</v>
      </c>
      <c r="B20" s="77"/>
      <c r="C20" s="69">
        <v>0.007</v>
      </c>
      <c r="D20" s="15"/>
      <c r="E20" s="15"/>
    </row>
    <row r="21" ht="20.35" customHeight="1">
      <c r="A21" t="s" s="55">
        <v>83</v>
      </c>
      <c r="B21" s="76"/>
      <c r="C21" s="71">
        <v>0.002</v>
      </c>
      <c r="D21" s="18"/>
      <c r="E21" s="18"/>
    </row>
    <row r="22" ht="20.35" customHeight="1">
      <c r="A22" t="s" s="55">
        <v>84</v>
      </c>
      <c r="B22" s="77"/>
      <c r="C22" s="69">
        <v>0</v>
      </c>
      <c r="D22" s="15"/>
      <c r="E22" s="15"/>
    </row>
    <row r="23" ht="20.35" customHeight="1">
      <c r="A23" t="s" s="65">
        <v>85</v>
      </c>
      <c r="B23" s="78"/>
      <c r="C23" s="79">
        <f>SUM(C17:C22)</f>
        <v>0.192</v>
      </c>
      <c r="D23" s="18"/>
      <c r="E23" s="18"/>
    </row>
    <row r="24" ht="20.35" customHeight="1">
      <c r="A24" s="17"/>
      <c r="B24" s="77"/>
      <c r="C24" s="69"/>
      <c r="D24" s="15"/>
      <c r="E24" s="15"/>
    </row>
    <row r="25" ht="20.35" customHeight="1">
      <c r="A25" t="s" s="55">
        <v>86</v>
      </c>
      <c r="B25" s="76"/>
      <c r="C25" s="71">
        <v>0.074</v>
      </c>
      <c r="D25" s="18"/>
      <c r="E25" t="s" s="19">
        <v>87</v>
      </c>
    </row>
    <row r="26" ht="20.35" customHeight="1">
      <c r="A26" t="s" s="55">
        <v>88</v>
      </c>
      <c r="B26" s="77"/>
      <c r="C26" s="69">
        <v>0.004</v>
      </c>
      <c r="D26" s="15"/>
      <c r="E26" s="15"/>
    </row>
    <row r="27" ht="24.85" customHeight="1">
      <c r="A27" t="s" s="55">
        <v>89</v>
      </c>
      <c r="B27" s="76"/>
      <c r="C27" s="71">
        <v>0.008</v>
      </c>
      <c r="D27" s="18"/>
      <c r="E27" s="18"/>
    </row>
    <row r="28" ht="20.35" customHeight="1">
      <c r="A28" t="s" s="55">
        <v>90</v>
      </c>
      <c r="B28" s="77"/>
      <c r="C28" s="69">
        <v>0.001</v>
      </c>
      <c r="D28" s="15"/>
      <c r="E28" s="15"/>
    </row>
    <row r="29" ht="20.35" customHeight="1">
      <c r="A29" t="s" s="65">
        <v>91</v>
      </c>
      <c r="B29" s="78"/>
      <c r="C29" s="79">
        <f>SUM(C25:C28)</f>
        <v>0.08699999999999999</v>
      </c>
      <c r="D29" s="18"/>
      <c r="E29" s="18"/>
    </row>
    <row r="30" ht="20.35" customHeight="1">
      <c r="A30" s="17"/>
      <c r="B30" s="77"/>
      <c r="C30" s="69"/>
      <c r="D30" s="15"/>
      <c r="E30" s="15"/>
    </row>
    <row r="31" ht="20.35" customHeight="1">
      <c r="A31" t="s" s="80">
        <v>92</v>
      </c>
      <c r="B31" s="76"/>
      <c r="C31" s="71"/>
      <c r="D31" s="18"/>
      <c r="E31" s="18"/>
    </row>
    <row r="32" ht="20.35" customHeight="1">
      <c r="A32" t="s" s="55">
        <v>93</v>
      </c>
      <c r="B32" s="81"/>
      <c r="C32" s="69">
        <v>0.01</v>
      </c>
      <c r="D32" s="15"/>
      <c r="E32" t="s" s="16">
        <v>94</v>
      </c>
    </row>
    <row r="33" ht="20.35" customHeight="1">
      <c r="A33" t="s" s="55">
        <v>95</v>
      </c>
      <c r="B33" s="76"/>
      <c r="C33" s="71">
        <v>0.006</v>
      </c>
      <c r="D33" s="18"/>
      <c r="E33" t="s" s="19">
        <v>96</v>
      </c>
    </row>
    <row r="34" ht="20.35" customHeight="1">
      <c r="A34" t="s" s="55">
        <v>97</v>
      </c>
      <c r="B34" s="77"/>
      <c r="C34" s="69">
        <v>0.006</v>
      </c>
      <c r="D34" s="15"/>
      <c r="E34" t="s" s="16">
        <v>98</v>
      </c>
    </row>
    <row r="35" ht="20.35" customHeight="1">
      <c r="A35" t="s" s="55">
        <v>99</v>
      </c>
      <c r="B35" s="76"/>
      <c r="C35" s="71">
        <v>0.01</v>
      </c>
      <c r="D35" s="18"/>
      <c r="E35" t="s" s="19">
        <v>100</v>
      </c>
    </row>
    <row r="36" ht="20.35" customHeight="1">
      <c r="A36" t="s" s="55">
        <v>101</v>
      </c>
      <c r="B36" s="77"/>
      <c r="C36" s="69">
        <v>0.005</v>
      </c>
      <c r="D36" s="15"/>
      <c r="E36" t="s" s="16">
        <v>102</v>
      </c>
    </row>
    <row r="37" ht="20.35" customHeight="1">
      <c r="A37" t="s" s="55">
        <v>103</v>
      </c>
      <c r="B37" s="76"/>
      <c r="C37" s="71">
        <v>0.007</v>
      </c>
      <c r="D37" s="18"/>
      <c r="E37" t="s" s="82">
        <v>104</v>
      </c>
    </row>
    <row r="38" ht="20.35" customHeight="1">
      <c r="A38" t="s" s="55">
        <v>105</v>
      </c>
      <c r="B38" s="77"/>
      <c r="C38" s="69">
        <v>0.006</v>
      </c>
      <c r="D38" s="15"/>
      <c r="E38" t="s" s="16">
        <v>106</v>
      </c>
    </row>
    <row r="39" ht="20.35" customHeight="1">
      <c r="A39" t="s" s="55">
        <v>107</v>
      </c>
      <c r="B39" s="76"/>
      <c r="C39" s="71">
        <v>0.003</v>
      </c>
      <c r="D39" s="18"/>
      <c r="E39" t="s" s="19">
        <v>108</v>
      </c>
    </row>
    <row r="40" ht="20.35" customHeight="1">
      <c r="A40" t="s" s="55">
        <v>109</v>
      </c>
      <c r="B40" s="77"/>
      <c r="C40" s="69">
        <v>0.02</v>
      </c>
      <c r="D40" s="15"/>
      <c r="E40" t="s" s="16">
        <v>100</v>
      </c>
    </row>
    <row r="41" ht="20.35" customHeight="1">
      <c r="A41" t="s" s="55">
        <v>110</v>
      </c>
      <c r="B41" s="76"/>
      <c r="C41" s="71">
        <v>0.004</v>
      </c>
      <c r="D41" s="18"/>
      <c r="E41" t="s" s="82">
        <v>104</v>
      </c>
    </row>
    <row r="42" ht="20.35" customHeight="1">
      <c r="A42" t="s" s="55">
        <v>111</v>
      </c>
      <c r="B42" s="77"/>
      <c r="C42" s="69">
        <v>0.006</v>
      </c>
      <c r="D42" s="15"/>
      <c r="E42" t="s" s="16">
        <v>100</v>
      </c>
    </row>
    <row r="43" ht="20.35" customHeight="1">
      <c r="A43" t="s" s="55">
        <v>112</v>
      </c>
      <c r="B43" s="76"/>
      <c r="C43" s="71">
        <v>0.003</v>
      </c>
      <c r="D43" s="18"/>
      <c r="E43" t="s" s="19">
        <v>113</v>
      </c>
    </row>
    <row r="44" ht="20.35" customHeight="1">
      <c r="A44" t="s" s="55">
        <v>114</v>
      </c>
      <c r="B44" s="77"/>
      <c r="C44" s="69">
        <v>0.003</v>
      </c>
      <c r="D44" s="15"/>
      <c r="E44" t="s" s="83">
        <v>104</v>
      </c>
    </row>
    <row r="45" ht="20.35" customHeight="1">
      <c r="A45" t="s" s="55">
        <v>115</v>
      </c>
      <c r="B45" s="76"/>
      <c r="C45" s="71">
        <v>0.003</v>
      </c>
      <c r="D45" s="18"/>
      <c r="E45" t="s" s="82">
        <v>104</v>
      </c>
    </row>
    <row r="46" ht="20.35" customHeight="1">
      <c r="A46" t="s" s="55">
        <v>116</v>
      </c>
      <c r="B46" s="77"/>
      <c r="C46" s="69">
        <v>0.006</v>
      </c>
      <c r="D46" s="15"/>
      <c r="E46" t="s" s="16">
        <v>117</v>
      </c>
    </row>
    <row r="47" ht="20.35" customHeight="1">
      <c r="A47" t="s" s="80">
        <v>118</v>
      </c>
      <c r="B47" s="78"/>
      <c r="C47" s="79">
        <f>SUM(C31:C46)</f>
        <v>0.098</v>
      </c>
      <c r="D47" s="18"/>
      <c r="E47" s="18"/>
    </row>
    <row r="48" ht="20.35" customHeight="1">
      <c r="A48" s="17"/>
      <c r="B48" s="77"/>
      <c r="C48" s="69"/>
      <c r="D48" s="15"/>
      <c r="E48" s="15"/>
    </row>
    <row r="49" ht="20.35" customHeight="1">
      <c r="A49" t="s" s="65">
        <v>119</v>
      </c>
      <c r="B49" s="78"/>
      <c r="C49" s="79">
        <f>(C23+C29+C47)</f>
        <v>0.377</v>
      </c>
      <c r="D49" s="18"/>
      <c r="E49" s="18"/>
    </row>
    <row r="50" ht="20.35" customHeight="1">
      <c r="A50" s="17"/>
      <c r="B50" s="77"/>
      <c r="C50" s="84"/>
      <c r="D50" s="15"/>
      <c r="E50" s="15"/>
    </row>
    <row r="51" ht="20.35" customHeight="1">
      <c r="A51" t="s" s="65">
        <v>120</v>
      </c>
      <c r="B51" s="78"/>
      <c r="C51" s="79">
        <f>(C14-C49)</f>
        <v>0.092</v>
      </c>
      <c r="D51" s="18"/>
      <c r="E51" t="s" s="19">
        <v>121</v>
      </c>
    </row>
    <row r="52" ht="20.35" customHeight="1">
      <c r="A52" t="s" s="55">
        <v>122</v>
      </c>
      <c r="B52" s="81"/>
      <c r="C52" s="69"/>
      <c r="D52" s="15"/>
      <c r="E52" s="15"/>
    </row>
    <row r="53" ht="20.35" customHeight="1">
      <c r="A53" t="s" s="80">
        <v>123</v>
      </c>
      <c r="B53" s="78"/>
      <c r="C53" s="71"/>
      <c r="D53" s="18"/>
      <c r="E53" s="18"/>
    </row>
  </sheetData>
  <pageMargins left="0.5" right="0.5" top="0.5" bottom="0.5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5"/>
  <sheetViews>
    <sheetView workbookViewId="0" showGridLines="0" defaultGridColor="1"/>
  </sheetViews>
  <sheetFormatPr defaultColWidth="16.3333" defaultRowHeight="18" customHeight="1" outlineLevelRow="0" outlineLevelCol="0"/>
  <cols>
    <col min="1" max="1" width="31.8516" style="85" customWidth="1"/>
    <col min="2" max="2" width="16.3516" style="85" customWidth="1"/>
    <col min="3" max="3" width="5" style="85" customWidth="1"/>
    <col min="4" max="4" width="37.6719" style="85" customWidth="1"/>
    <col min="5" max="5" width="16.3516" style="85" customWidth="1"/>
    <col min="6" max="16384" width="16.3516" style="85" customWidth="1"/>
  </cols>
  <sheetData>
    <row r="1" ht="22.55" customHeight="1">
      <c r="A1" t="s" s="86">
        <v>124</v>
      </c>
      <c r="B1" s="8"/>
      <c r="C1" s="8"/>
      <c r="D1" s="8"/>
      <c r="E1" s="6"/>
    </row>
    <row r="2" ht="20.55" customHeight="1">
      <c r="A2" s="10"/>
      <c r="B2" s="11"/>
      <c r="C2" s="12"/>
      <c r="D2" s="12"/>
      <c r="E2" s="9"/>
    </row>
    <row r="3" ht="22.35" customHeight="1">
      <c r="A3" s="87"/>
      <c r="B3" t="s" s="88">
        <v>2</v>
      </c>
      <c r="C3" s="89"/>
      <c r="D3" t="s" s="89">
        <v>65</v>
      </c>
      <c r="E3" s="9"/>
    </row>
    <row r="4" ht="22.35" customHeight="1">
      <c r="A4" t="s" s="90">
        <v>125</v>
      </c>
      <c r="B4" s="91">
        <f>'Start-up Investment'!E31</f>
        <v>145870</v>
      </c>
      <c r="C4" s="92"/>
      <c r="D4" t="s" s="92">
        <v>2</v>
      </c>
      <c r="E4" s="9"/>
    </row>
    <row r="5" ht="22.35" customHeight="1">
      <c r="A5" t="s" s="90">
        <v>126</v>
      </c>
      <c r="B5" s="93"/>
      <c r="C5" s="94"/>
      <c r="D5" t="s" s="94">
        <v>127</v>
      </c>
      <c r="E5" s="9"/>
    </row>
    <row r="6" ht="22.35" customHeight="1">
      <c r="A6" t="s" s="90">
        <v>128</v>
      </c>
      <c r="B6" s="93">
        <v>0</v>
      </c>
      <c r="C6" s="95"/>
      <c r="D6" s="95"/>
      <c r="E6" s="9"/>
    </row>
    <row r="7" ht="22.35" customHeight="1">
      <c r="A7" t="s" s="96">
        <v>129</v>
      </c>
      <c r="B7" s="97">
        <f>(B4-B5+B6)</f>
        <v>145870</v>
      </c>
      <c r="C7" s="98"/>
      <c r="D7" t="s" s="98">
        <v>2</v>
      </c>
      <c r="E7" s="9"/>
    </row>
    <row r="8" ht="22.35" customHeight="1">
      <c r="A8" s="87"/>
      <c r="B8" s="91"/>
      <c r="C8" s="95"/>
      <c r="D8" s="95"/>
      <c r="E8" s="9"/>
    </row>
    <row r="9" ht="22.35" customHeight="1">
      <c r="A9" t="s" s="90">
        <v>130</v>
      </c>
      <c r="B9" s="99">
        <v>0</v>
      </c>
      <c r="C9" s="100"/>
      <c r="D9" s="100"/>
      <c r="E9" s="9"/>
    </row>
    <row r="10" ht="22.35" customHeight="1">
      <c r="A10" s="87"/>
      <c r="B10" s="91"/>
      <c r="C10" s="95"/>
      <c r="D10" s="95"/>
      <c r="E10" s="9"/>
    </row>
    <row r="11" ht="22.35" customHeight="1">
      <c r="A11" t="s" s="90">
        <v>131</v>
      </c>
      <c r="B11" s="93">
        <f>(B7-B9)</f>
        <v>145870</v>
      </c>
      <c r="C11" s="100"/>
      <c r="D11" s="100"/>
      <c r="E11" s="9"/>
    </row>
    <row r="12" ht="22.35" customHeight="1">
      <c r="A12" s="90"/>
      <c r="B12" t="s" s="101">
        <v>2</v>
      </c>
      <c r="C12" s="92"/>
      <c r="D12" s="92"/>
      <c r="E12" s="9"/>
    </row>
    <row r="13" ht="22.35" customHeight="1">
      <c r="A13" t="s" s="90">
        <v>132</v>
      </c>
      <c r="B13" t="s" s="102">
        <v>2</v>
      </c>
      <c r="C13" s="94"/>
      <c r="D13" t="s" s="94">
        <v>133</v>
      </c>
      <c r="E13" s="9"/>
    </row>
    <row r="14" ht="22.35" customHeight="1">
      <c r="A14" t="s" s="90">
        <v>134</v>
      </c>
      <c r="B14" s="103"/>
      <c r="C14" s="92"/>
      <c r="D14" t="s" s="92">
        <v>135</v>
      </c>
      <c r="E14" s="9"/>
    </row>
    <row r="15" ht="22.35" customHeight="1">
      <c r="A15" t="s" s="90">
        <v>136</v>
      </c>
      <c r="B15" s="93"/>
      <c r="C15" s="94"/>
      <c r="D15" t="s" s="94">
        <v>135</v>
      </c>
      <c r="E15" s="45"/>
    </row>
  </sheetData>
  <hyperlinks>
    <hyperlink ref="D14" r:id="rId1" location="" tooltip="" display="Use calculator.net or ask your banker"/>
    <hyperlink ref="D15" r:id="rId2" location="" tooltip="" display="Use calculator.net or ask your banker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4"/>
  <sheetViews>
    <sheetView workbookViewId="0" showGridLines="0" defaultGridColor="1"/>
  </sheetViews>
  <sheetFormatPr defaultColWidth="16.3333" defaultRowHeight="18" customHeight="1" outlineLevelRow="0" outlineLevelCol="0"/>
  <cols>
    <col min="1" max="1" width="31.8516" style="104" customWidth="1"/>
    <col min="2" max="2" width="4.17188" style="104" customWidth="1"/>
    <col min="3" max="3" width="12.1719" style="104" customWidth="1"/>
    <col min="4" max="4" width="4.85156" style="104" customWidth="1"/>
    <col min="5" max="5" width="13.8516" style="104" customWidth="1"/>
    <col min="6" max="6" width="5.35156" style="104" customWidth="1"/>
    <col min="7" max="7" width="26.8516" style="104" customWidth="1"/>
    <col min="8" max="16384" width="16.3516" style="104" customWidth="1"/>
  </cols>
  <sheetData>
    <row r="1" ht="23.2" customHeight="1">
      <c r="A1" t="s" s="105">
        <v>137</v>
      </c>
      <c r="B1" s="106"/>
      <c r="C1" s="106"/>
      <c r="D1" s="106"/>
      <c r="E1" s="106"/>
      <c r="F1" s="106"/>
      <c r="G1" s="106"/>
    </row>
    <row r="2" ht="20.55" customHeight="1">
      <c r="A2" s="107"/>
      <c r="B2" s="11"/>
      <c r="C2" s="108"/>
      <c r="D2" s="109"/>
      <c r="E2" s="109"/>
      <c r="F2" s="109"/>
      <c r="G2" s="110"/>
    </row>
    <row r="3" ht="20.35" customHeight="1">
      <c r="A3" t="s" s="111">
        <v>138</v>
      </c>
      <c r="B3" s="20"/>
      <c r="C3" s="112">
        <f>'Assumptions'!B17</f>
        <v>1400</v>
      </c>
      <c r="D3" s="113"/>
      <c r="E3" t="s" s="62">
        <v>2</v>
      </c>
      <c r="F3" s="113"/>
      <c r="G3" t="s" s="114">
        <v>2</v>
      </c>
    </row>
    <row r="4" ht="20.35" customHeight="1">
      <c r="A4" t="s" s="111">
        <v>25</v>
      </c>
      <c r="B4" s="115"/>
      <c r="C4" s="112">
        <f>'Assumptions'!B20</f>
        <v>1260</v>
      </c>
      <c r="D4" s="116"/>
      <c r="E4" t="s" s="60">
        <v>2</v>
      </c>
      <c r="F4" s="116"/>
      <c r="G4" t="s" s="19">
        <v>2</v>
      </c>
    </row>
    <row r="5" ht="20.35" customHeight="1">
      <c r="A5" s="117"/>
      <c r="B5" s="20"/>
      <c r="C5" s="54"/>
      <c r="D5" s="15"/>
      <c r="E5" s="15"/>
      <c r="F5" s="15"/>
      <c r="G5" s="15"/>
    </row>
    <row r="6" ht="20.35" customHeight="1">
      <c r="A6" t="s" s="118">
        <v>139</v>
      </c>
      <c r="B6" s="115"/>
      <c r="C6" t="s" s="59">
        <v>140</v>
      </c>
      <c r="D6" s="18"/>
      <c r="E6" t="s" s="59">
        <v>141</v>
      </c>
      <c r="F6" s="18"/>
      <c r="G6" t="s" s="119">
        <v>65</v>
      </c>
    </row>
    <row r="7" ht="44.35" customHeight="1">
      <c r="A7" t="s" s="24">
        <v>127</v>
      </c>
      <c r="B7" s="20"/>
      <c r="C7" s="120"/>
      <c r="D7" s="121"/>
      <c r="E7" s="122">
        <v>0</v>
      </c>
      <c r="F7" s="121"/>
      <c r="G7" t="s" s="16">
        <v>142</v>
      </c>
    </row>
    <row r="8" ht="20.35" customHeight="1">
      <c r="A8" t="s" s="24">
        <v>143</v>
      </c>
      <c r="B8" s="115"/>
      <c r="C8" s="123">
        <v>25</v>
      </c>
      <c r="D8" s="124"/>
      <c r="E8" s="125">
        <f>(C4*C8)</f>
        <v>31500</v>
      </c>
      <c r="F8" s="124"/>
      <c r="G8" t="s" s="19">
        <v>144</v>
      </c>
    </row>
    <row r="9" ht="20.35" customHeight="1">
      <c r="A9" t="s" s="24">
        <v>145</v>
      </c>
      <c r="B9" s="20"/>
      <c r="C9" s="120"/>
      <c r="D9" s="121"/>
      <c r="E9" t="s" s="126">
        <v>2</v>
      </c>
      <c r="F9" s="121"/>
      <c r="G9" t="s" s="16">
        <v>146</v>
      </c>
    </row>
    <row r="10" ht="32.35" customHeight="1">
      <c r="A10" t="s" s="24">
        <v>147</v>
      </c>
      <c r="B10" s="115"/>
      <c r="C10" s="127"/>
      <c r="D10" s="124"/>
      <c r="E10" t="s" s="126">
        <v>2</v>
      </c>
      <c r="F10" s="124"/>
      <c r="G10" t="s" s="19">
        <v>148</v>
      </c>
    </row>
    <row r="11" ht="20.35" customHeight="1">
      <c r="A11" t="s" s="24">
        <v>149</v>
      </c>
      <c r="B11" s="20"/>
      <c r="C11" s="120"/>
      <c r="D11" s="121"/>
      <c r="E11" t="s" s="126">
        <v>2</v>
      </c>
      <c r="F11" s="121"/>
      <c r="G11" t="s" s="16">
        <v>2</v>
      </c>
    </row>
    <row r="12" ht="20.35" customHeight="1">
      <c r="A12" t="s" s="24">
        <v>150</v>
      </c>
      <c r="B12" s="115"/>
      <c r="C12" s="127"/>
      <c r="D12" s="124"/>
      <c r="E12" t="s" s="126">
        <v>2</v>
      </c>
      <c r="F12" s="124"/>
      <c r="G12" t="s" s="19">
        <v>151</v>
      </c>
    </row>
    <row r="13" ht="20.35" customHeight="1">
      <c r="A13" s="17"/>
      <c r="B13" s="20"/>
      <c r="C13" s="120"/>
      <c r="D13" s="121"/>
      <c r="E13" s="122"/>
      <c r="F13" s="121"/>
      <c r="G13" s="121"/>
    </row>
    <row r="14" ht="20.35" customHeight="1">
      <c r="A14" t="s" s="24">
        <v>152</v>
      </c>
      <c r="B14" s="115"/>
      <c r="C14" s="123">
        <v>75</v>
      </c>
      <c r="D14" s="124"/>
      <c r="E14" s="125">
        <f>(C4*C14)</f>
        <v>94500</v>
      </c>
      <c r="F14" s="124"/>
      <c r="G14" t="s" s="19">
        <v>153</v>
      </c>
    </row>
    <row r="15" ht="32.35" customHeight="1">
      <c r="A15" t="s" s="24">
        <v>154</v>
      </c>
      <c r="B15" s="20"/>
      <c r="C15" s="120"/>
      <c r="D15" s="121"/>
      <c r="E15" t="s" s="126">
        <v>2</v>
      </c>
      <c r="F15" s="121"/>
      <c r="G15" t="s" s="16">
        <v>155</v>
      </c>
    </row>
    <row r="16" ht="20.35" customHeight="1">
      <c r="A16" t="s" s="24">
        <v>156</v>
      </c>
      <c r="B16" s="115"/>
      <c r="C16" s="127"/>
      <c r="D16" s="124"/>
      <c r="E16" t="s" s="126">
        <v>2</v>
      </c>
      <c r="F16" s="124"/>
      <c r="G16" t="s" s="19">
        <v>157</v>
      </c>
    </row>
    <row r="17" ht="32.35" customHeight="1">
      <c r="A17" t="s" s="24">
        <v>158</v>
      </c>
      <c r="B17" s="20"/>
      <c r="C17" s="120"/>
      <c r="D17" s="121"/>
      <c r="E17" t="s" s="126">
        <v>2</v>
      </c>
      <c r="F17" s="121"/>
      <c r="G17" t="s" s="16">
        <v>159</v>
      </c>
    </row>
    <row r="18" ht="44.35" customHeight="1">
      <c r="A18" t="s" s="24">
        <v>160</v>
      </c>
      <c r="B18" s="115"/>
      <c r="C18" s="127"/>
      <c r="D18" s="124"/>
      <c r="E18" s="122">
        <f>(80*10)</f>
        <v>800</v>
      </c>
      <c r="F18" s="124"/>
      <c r="G18" t="s" s="19">
        <v>161</v>
      </c>
    </row>
    <row r="19" ht="20.35" customHeight="1">
      <c r="A19" t="s" s="24">
        <v>162</v>
      </c>
      <c r="B19" s="20"/>
      <c r="C19" s="120"/>
      <c r="D19" s="121"/>
      <c r="E19" t="s" s="128">
        <v>2</v>
      </c>
      <c r="F19" s="121"/>
      <c r="G19" s="121"/>
    </row>
    <row r="20" ht="20.35" customHeight="1">
      <c r="A20" t="s" s="24">
        <v>163</v>
      </c>
      <c r="B20" s="115"/>
      <c r="C20" s="127"/>
      <c r="D20" s="124"/>
      <c r="E20" t="s" s="126">
        <v>2</v>
      </c>
      <c r="F20" s="124"/>
      <c r="G20" t="s" s="19">
        <v>2</v>
      </c>
    </row>
    <row r="21" ht="20.35" customHeight="1">
      <c r="A21" t="s" s="24">
        <v>164</v>
      </c>
      <c r="B21" s="20"/>
      <c r="C21" s="129">
        <v>3.5</v>
      </c>
      <c r="D21" s="121"/>
      <c r="E21" s="130">
        <f>(C4*C21)</f>
        <v>4410</v>
      </c>
      <c r="F21" t="s" s="16">
        <v>165</v>
      </c>
      <c r="G21" t="s" s="16">
        <v>166</v>
      </c>
    </row>
    <row r="22" ht="20.35" customHeight="1">
      <c r="A22" t="s" s="24">
        <v>167</v>
      </c>
      <c r="B22" s="115"/>
      <c r="C22" s="129">
        <v>3.5</v>
      </c>
      <c r="D22" s="124"/>
      <c r="E22" s="125">
        <f>(C4*C22)</f>
        <v>4410</v>
      </c>
      <c r="F22" t="s" s="19">
        <v>165</v>
      </c>
      <c r="G22" t="s" s="19">
        <v>168</v>
      </c>
    </row>
    <row r="23" ht="32.35" customHeight="1">
      <c r="A23" t="s" s="24">
        <v>169</v>
      </c>
      <c r="B23" s="20"/>
      <c r="C23" s="120"/>
      <c r="D23" s="121"/>
      <c r="E23" s="122">
        <v>3500</v>
      </c>
      <c r="F23" t="s" s="16">
        <v>165</v>
      </c>
      <c r="G23" t="s" s="16">
        <v>170</v>
      </c>
    </row>
    <row r="24" ht="20.35" customHeight="1">
      <c r="A24" t="s" s="24">
        <v>171</v>
      </c>
      <c r="B24" s="115"/>
      <c r="C24" s="127"/>
      <c r="D24" s="124"/>
      <c r="E24" s="122">
        <v>2500</v>
      </c>
      <c r="F24" s="124"/>
      <c r="G24" t="s" s="19">
        <v>2</v>
      </c>
    </row>
    <row r="25" ht="20.35" customHeight="1">
      <c r="A25" t="s" s="24">
        <v>172</v>
      </c>
      <c r="B25" s="20"/>
      <c r="C25" s="120"/>
      <c r="D25" s="121"/>
      <c r="E25" s="122">
        <v>1000</v>
      </c>
      <c r="F25" s="121"/>
      <c r="G25" t="s" s="16">
        <v>2</v>
      </c>
    </row>
    <row r="26" ht="32.35" customHeight="1">
      <c r="A26" t="s" s="24">
        <v>173</v>
      </c>
      <c r="B26" s="115"/>
      <c r="C26" s="127"/>
      <c r="D26" s="124"/>
      <c r="E26" s="122">
        <v>2500</v>
      </c>
      <c r="F26" s="124"/>
      <c r="G26" t="s" s="19">
        <v>174</v>
      </c>
    </row>
    <row r="27" ht="32.35" customHeight="1">
      <c r="A27" t="s" s="24">
        <v>175</v>
      </c>
      <c r="B27" s="20"/>
      <c r="C27" s="120"/>
      <c r="D27" s="121"/>
      <c r="E27" s="122">
        <v>750</v>
      </c>
      <c r="F27" s="121"/>
      <c r="G27" t="s" s="16">
        <v>176</v>
      </c>
    </row>
    <row r="28" ht="20.35" customHeight="1">
      <c r="A28" t="s" s="24">
        <v>177</v>
      </c>
      <c r="B28" s="115"/>
      <c r="C28" s="127"/>
      <c r="D28" s="124"/>
      <c r="E28" t="s" s="126">
        <v>2</v>
      </c>
      <c r="F28" s="124"/>
      <c r="G28" s="124"/>
    </row>
    <row r="29" ht="20.35" customHeight="1">
      <c r="A29" t="s" s="24">
        <v>178</v>
      </c>
      <c r="B29" s="20"/>
      <c r="C29" s="120"/>
      <c r="D29" s="121"/>
      <c r="E29" t="s" s="131">
        <v>2</v>
      </c>
      <c r="F29" s="121"/>
      <c r="G29" t="s" s="16">
        <v>2</v>
      </c>
    </row>
    <row r="30" ht="20.35" customHeight="1">
      <c r="A30" t="s" s="24">
        <v>179</v>
      </c>
      <c r="B30" s="115"/>
      <c r="C30" s="127"/>
      <c r="D30" s="124"/>
      <c r="E30" t="s" s="131">
        <v>2</v>
      </c>
      <c r="F30" s="124"/>
      <c r="G30" t="s" s="19">
        <v>2</v>
      </c>
    </row>
    <row r="31" ht="20.35" customHeight="1">
      <c r="A31" t="s" s="111">
        <v>180</v>
      </c>
      <c r="B31" s="20"/>
      <c r="C31" s="132"/>
      <c r="D31" s="133"/>
      <c r="E31" s="134">
        <f>SUM(E7:E30)</f>
        <v>145870</v>
      </c>
      <c r="F31" s="133"/>
      <c r="G31" s="133"/>
    </row>
    <row r="32" ht="20.35" customHeight="1">
      <c r="A32" t="s" s="111">
        <v>181</v>
      </c>
      <c r="B32" s="115"/>
      <c r="C32" s="57"/>
      <c r="D32" s="18"/>
      <c r="E32" s="135">
        <f>(E31/C4)</f>
        <v>115.769841269841</v>
      </c>
      <c r="F32" s="18"/>
      <c r="G32" s="18"/>
    </row>
    <row r="33" ht="20.35" customHeight="1">
      <c r="A33" s="136"/>
      <c r="B33" s="20"/>
      <c r="C33" s="54"/>
      <c r="D33" s="15"/>
      <c r="E33" s="133"/>
      <c r="F33" s="15"/>
      <c r="G33" s="15"/>
    </row>
    <row r="34" ht="20.35" customHeight="1">
      <c r="A34" s="136"/>
      <c r="B34" s="115"/>
      <c r="C34" s="57"/>
      <c r="D34" s="18"/>
      <c r="E34" s="137"/>
      <c r="F34" t="s" s="19">
        <v>165</v>
      </c>
      <c r="G34" t="s" s="19">
        <v>182</v>
      </c>
    </row>
  </sheetData>
  <pageMargins left="0.5" right="0.75" top="0.5" bottom="0.5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44"/>
  <sheetViews>
    <sheetView workbookViewId="0" showGridLines="0" defaultGridColor="1"/>
  </sheetViews>
  <sheetFormatPr defaultColWidth="8.83333" defaultRowHeight="13.9" customHeight="1" outlineLevelRow="0" outlineLevelCol="0"/>
  <cols>
    <col min="1" max="1" width="23" style="138" customWidth="1"/>
    <col min="2" max="2" width="10.5" style="138" customWidth="1"/>
    <col min="3" max="3" width="3.67188" style="138" customWidth="1"/>
    <col min="4" max="4" width="7.85156" style="138" customWidth="1"/>
    <col min="5" max="5" width="3" style="138" customWidth="1"/>
    <col min="6" max="7" width="9.67188" style="138" customWidth="1"/>
    <col min="8" max="8" width="8.85156" style="138" customWidth="1"/>
    <col min="9" max="9" width="9.35156" style="138" customWidth="1"/>
    <col min="10" max="10" width="9.17188" style="138" customWidth="1"/>
    <col min="11" max="11" width="9" style="138" customWidth="1"/>
    <col min="12" max="18" width="8.85156" style="138" customWidth="1"/>
    <col min="19" max="19" width="7.85156" style="138" customWidth="1"/>
    <col min="20" max="16384" width="8.85156" style="138" customWidth="1"/>
  </cols>
  <sheetData>
    <row r="1" ht="32.65" customHeight="1">
      <c r="A1" t="s" s="139">
        <v>183</v>
      </c>
      <c r="B1" s="140"/>
      <c r="C1" s="140"/>
      <c r="D1" s="140"/>
      <c r="E1" s="140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ht="17.65" customHeight="1">
      <c r="A2" t="s" s="142">
        <v>184</v>
      </c>
      <c r="B2" t="s" s="143">
        <v>2</v>
      </c>
      <c r="C2" s="144"/>
      <c r="D2" s="144"/>
      <c r="E2" s="144"/>
      <c r="F2" s="145"/>
      <c r="G2" s="145"/>
      <c r="H2" t="s" s="146">
        <v>2</v>
      </c>
      <c r="I2" t="s" s="147">
        <v>2</v>
      </c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ht="14.7" customHeight="1">
      <c r="A3" t="s" s="148">
        <v>2</v>
      </c>
      <c r="B3" s="144"/>
      <c r="C3" s="144"/>
      <c r="D3" s="144"/>
      <c r="E3" s="144"/>
      <c r="F3" s="145"/>
      <c r="G3" s="145"/>
      <c r="H3" s="145"/>
      <c r="I3" t="s" s="147">
        <v>2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ht="14.7" customHeight="1">
      <c r="A4" t="s" s="149">
        <v>185</v>
      </c>
      <c r="B4" s="150">
        <f>'Assumptions'!B17</f>
        <v>1400</v>
      </c>
      <c r="C4" s="144"/>
      <c r="D4" s="144"/>
      <c r="E4" s="144"/>
      <c r="F4" s="145"/>
      <c r="G4" s="145"/>
      <c r="H4" s="144"/>
      <c r="I4" s="144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ht="14.7" customHeight="1">
      <c r="A5" t="s" s="149">
        <v>186</v>
      </c>
      <c r="B5" s="151">
        <f>'Assumptions'!B20</f>
        <v>1260</v>
      </c>
      <c r="C5" s="144"/>
      <c r="D5" s="152"/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ht="14.7" customHeight="1">
      <c r="A6" s="153"/>
      <c r="B6" s="144"/>
      <c r="C6" s="144"/>
      <c r="D6" s="144"/>
      <c r="E6" s="144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/>
    </row>
    <row r="7" ht="14.7" customHeight="1">
      <c r="A7" t="s" s="154">
        <v>2</v>
      </c>
      <c r="B7" t="s" s="155">
        <v>2</v>
      </c>
      <c r="C7" s="144"/>
      <c r="D7" t="s" s="143">
        <v>187</v>
      </c>
      <c r="E7" s="144"/>
      <c r="F7" t="s" s="155">
        <v>188</v>
      </c>
      <c r="G7" t="s" s="155">
        <v>189</v>
      </c>
      <c r="H7" t="s" s="155">
        <v>190</v>
      </c>
      <c r="I7" t="s" s="155">
        <v>191</v>
      </c>
      <c r="J7" t="s" s="155">
        <v>192</v>
      </c>
      <c r="K7" t="s" s="155">
        <v>193</v>
      </c>
      <c r="L7" t="s" s="155">
        <v>194</v>
      </c>
      <c r="M7" t="s" s="155">
        <v>195</v>
      </c>
      <c r="N7" t="s" s="155">
        <v>196</v>
      </c>
      <c r="O7" t="s" s="155">
        <v>197</v>
      </c>
      <c r="P7" t="s" s="155">
        <v>198</v>
      </c>
      <c r="Q7" t="s" s="155">
        <v>199</v>
      </c>
      <c r="R7" t="s" s="155">
        <v>180</v>
      </c>
      <c r="S7" t="s" s="155">
        <v>200</v>
      </c>
    </row>
    <row r="8" ht="14.7" customHeight="1">
      <c r="A8" s="153"/>
      <c r="B8" s="156"/>
      <c r="C8" s="144"/>
      <c r="D8" t="s" s="157">
        <v>201</v>
      </c>
      <c r="E8" s="158"/>
      <c r="F8" t="s" s="155">
        <v>2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t="s" s="155">
        <v>2</v>
      </c>
      <c r="S8" t="s" s="157">
        <v>202</v>
      </c>
    </row>
    <row r="9" ht="14.7" customHeight="1">
      <c r="A9" s="153"/>
      <c r="B9" s="159"/>
      <c r="C9" s="144"/>
      <c r="D9" s="144"/>
      <c r="E9" s="144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ht="14.7" customHeight="1">
      <c r="A10" t="s" s="160">
        <v>203</v>
      </c>
      <c r="B10" s="159">
        <f>(B5*B11)</f>
        <v>346500</v>
      </c>
      <c r="C10" s="144"/>
      <c r="D10" s="144"/>
      <c r="E10" s="144"/>
      <c r="F10" s="161">
        <f>($B$10*F12)</f>
        <v>23769.9</v>
      </c>
      <c r="G10" s="161">
        <f>($B$10*G12)</f>
        <v>23908.5</v>
      </c>
      <c r="H10" s="161">
        <f>($B$10*H12)</f>
        <v>26022.15</v>
      </c>
      <c r="I10" s="161">
        <f>($B$10*I12)</f>
        <v>22834.35</v>
      </c>
      <c r="J10" s="161">
        <f>($B$10*J12)</f>
        <v>31358.25</v>
      </c>
      <c r="K10" s="161">
        <f>($B$10*K12)</f>
        <v>26472.6</v>
      </c>
      <c r="L10" s="161">
        <f>($B$10*L12)</f>
        <v>27893.25</v>
      </c>
      <c r="M10" s="161">
        <f>($B$10*M12)</f>
        <v>28620.9</v>
      </c>
      <c r="N10" s="161">
        <f>($B$10*N12)</f>
        <v>26091.45</v>
      </c>
      <c r="O10" s="161">
        <f>($B$10*O12)</f>
        <v>26576.55</v>
      </c>
      <c r="P10" s="161">
        <f>($B$10*P12)</f>
        <v>30110.85</v>
      </c>
      <c r="Q10" s="161">
        <f>($B$10*Q12)</f>
        <v>52806.6</v>
      </c>
      <c r="R10" s="161">
        <f>SUM(F10:Q10)</f>
        <v>346465.35</v>
      </c>
      <c r="S10" s="161"/>
    </row>
    <row r="11" ht="14.7" customHeight="1">
      <c r="A11" t="s" s="149">
        <v>204</v>
      </c>
      <c r="B11" s="162">
        <f>'Assumptions'!C39</f>
        <v>275</v>
      </c>
      <c r="C11" s="144"/>
      <c r="D11" s="144"/>
      <c r="E11" s="144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t="s" s="146">
        <v>2</v>
      </c>
      <c r="S11" s="145"/>
    </row>
    <row r="12" ht="14.7" customHeight="1">
      <c r="A12" t="s" s="148">
        <v>205</v>
      </c>
      <c r="B12" s="159"/>
      <c r="C12" s="144"/>
      <c r="D12" s="163">
        <f>SUM(E12:Q12)</f>
        <v>0.9999</v>
      </c>
      <c r="E12" s="164"/>
      <c r="F12" s="165">
        <v>0.06859999999999999</v>
      </c>
      <c r="G12" s="165">
        <v>0.06900000000000001</v>
      </c>
      <c r="H12" s="165">
        <v>0.0751</v>
      </c>
      <c r="I12" s="165">
        <v>0.0659</v>
      </c>
      <c r="J12" s="165">
        <v>0.0905</v>
      </c>
      <c r="K12" s="165">
        <v>0.0764</v>
      </c>
      <c r="L12" s="165">
        <v>0.0805</v>
      </c>
      <c r="M12" s="165">
        <v>0.08260000000000001</v>
      </c>
      <c r="N12" s="165">
        <v>0.07530000000000001</v>
      </c>
      <c r="O12" s="165">
        <v>0.0767</v>
      </c>
      <c r="P12" s="165">
        <v>0.08690000000000001</v>
      </c>
      <c r="Q12" s="165">
        <v>0.1524</v>
      </c>
      <c r="R12" s="166">
        <f>SUM(F12:Q12)</f>
        <v>0.9999</v>
      </c>
      <c r="S12" s="166"/>
    </row>
    <row r="13" ht="14.7" customHeight="1">
      <c r="A13" s="153"/>
      <c r="B13" s="159"/>
      <c r="C13" s="144"/>
      <c r="D13" s="144"/>
      <c r="E13" s="144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t="s" s="146">
        <v>2</v>
      </c>
      <c r="S13" s="145"/>
    </row>
    <row r="14" ht="14.7" customHeight="1">
      <c r="A14" t="s" s="160">
        <v>206</v>
      </c>
      <c r="B14" s="159">
        <f>($D$14*B10)</f>
        <v>200970</v>
      </c>
      <c r="C14" s="144"/>
      <c r="D14" s="164">
        <f>'Assumptions'!C47</f>
        <v>0.58</v>
      </c>
      <c r="E14" t="s" s="167">
        <v>165</v>
      </c>
      <c r="F14" s="161">
        <f>(F10*$D$14)</f>
        <v>13786.542</v>
      </c>
      <c r="G14" s="161">
        <f>(G10*$D$14)</f>
        <v>13866.93</v>
      </c>
      <c r="H14" s="161">
        <f>(H10*$D$14)</f>
        <v>15092.847</v>
      </c>
      <c r="I14" s="161">
        <f>(I10*$D$14)</f>
        <v>13243.923</v>
      </c>
      <c r="J14" s="161">
        <f>(J10*$D$14)</f>
        <v>18187.785</v>
      </c>
      <c r="K14" s="161">
        <f>(K10*$D$14)</f>
        <v>15354.108</v>
      </c>
      <c r="L14" s="161">
        <f>(L10*$D$14)</f>
        <v>16178.085</v>
      </c>
      <c r="M14" s="161">
        <f>(M10*$D$14)</f>
        <v>16600.122</v>
      </c>
      <c r="N14" s="161">
        <f>(N10*$D$14)</f>
        <v>15133.041</v>
      </c>
      <c r="O14" s="161">
        <f>(O10*$D$14)</f>
        <v>15414.399</v>
      </c>
      <c r="P14" s="161">
        <f>(P10*$D$14)</f>
        <v>17464.293</v>
      </c>
      <c r="Q14" s="161">
        <f>(Q10*$D$14)</f>
        <v>30627.828</v>
      </c>
      <c r="R14" s="161">
        <f>SUM(F14:Q14)</f>
        <v>200949.903</v>
      </c>
      <c r="S14" s="165">
        <f>(R14/$R$10)</f>
        <v>0.58</v>
      </c>
    </row>
    <row r="15" ht="14.7" customHeight="1">
      <c r="A15" s="153"/>
      <c r="B15" s="159"/>
      <c r="C15" s="144"/>
      <c r="D15" t="s" s="168">
        <v>2</v>
      </c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t="s" s="146">
        <v>2</v>
      </c>
      <c r="S15" t="s" s="146">
        <v>2</v>
      </c>
    </row>
    <row r="16" ht="14.7" customHeight="1">
      <c r="A16" t="s" s="160">
        <v>207</v>
      </c>
      <c r="B16" s="159"/>
      <c r="C16" s="144"/>
      <c r="D16" s="144"/>
      <c r="E16" s="144"/>
      <c r="F16" t="s" s="146">
        <v>2</v>
      </c>
      <c r="G16" t="s" s="146">
        <v>2</v>
      </c>
      <c r="H16" t="s" s="146">
        <v>2</v>
      </c>
      <c r="I16" t="s" s="146">
        <v>2</v>
      </c>
      <c r="J16" t="s" s="146">
        <v>2</v>
      </c>
      <c r="K16" t="s" s="146">
        <v>2</v>
      </c>
      <c r="L16" t="s" s="146">
        <v>2</v>
      </c>
      <c r="M16" t="s" s="146">
        <v>2</v>
      </c>
      <c r="N16" t="s" s="146">
        <v>2</v>
      </c>
      <c r="O16" t="s" s="146">
        <v>2</v>
      </c>
      <c r="P16" t="s" s="146">
        <v>2</v>
      </c>
      <c r="Q16" t="s" s="146">
        <v>2</v>
      </c>
      <c r="R16" t="s" s="146">
        <v>2</v>
      </c>
      <c r="S16" t="s" s="146">
        <v>2</v>
      </c>
    </row>
    <row r="17" ht="14.7" customHeight="1">
      <c r="A17" t="s" s="160">
        <v>208</v>
      </c>
      <c r="B17" s="159">
        <f>'Assumptions'!B13</f>
        <v>97540</v>
      </c>
      <c r="C17" s="144"/>
      <c r="D17" s="164">
        <f>'Industry Averages'!C23</f>
        <v>0.192</v>
      </c>
      <c r="E17" s="144"/>
      <c r="F17" s="161">
        <f>($B$17*F44)</f>
        <v>8284.219178082190</v>
      </c>
      <c r="G17" s="161">
        <f>($B$17*G44)</f>
        <v>7482.520547945210</v>
      </c>
      <c r="H17" s="161">
        <f>($B$17*H44)</f>
        <v>8284.219178082190</v>
      </c>
      <c r="I17" s="161">
        <f>($B$17*I44)</f>
        <v>8016.986301369860</v>
      </c>
      <c r="J17" s="161">
        <f>($B$17*J44)</f>
        <v>8284.219178082190</v>
      </c>
      <c r="K17" s="161">
        <f>($B$17*K44)</f>
        <v>8016.986301369860</v>
      </c>
      <c r="L17" s="161">
        <f>($B$17*L44)</f>
        <v>8284.219178082190</v>
      </c>
      <c r="M17" s="161">
        <f>($B$17*M44)</f>
        <v>8284.219178082190</v>
      </c>
      <c r="N17" s="161">
        <f>($B$17*N44)</f>
        <v>8016.986301369860</v>
      </c>
      <c r="O17" s="161">
        <f>($B$17*O44)</f>
        <v>8284.219178082190</v>
      </c>
      <c r="P17" s="161">
        <f>($B$17*P44)</f>
        <v>8016.986301369860</v>
      </c>
      <c r="Q17" s="161">
        <f>($B$17*Q44)</f>
        <v>8284.219178082190</v>
      </c>
      <c r="R17" s="161">
        <f>SUM(F17:Q17)</f>
        <v>97540</v>
      </c>
      <c r="S17" s="165">
        <f>(R17/$R$10)</f>
        <v>0.28152887438816</v>
      </c>
    </row>
    <row r="18" ht="14.7" customHeight="1">
      <c r="A18" t="s" s="160">
        <v>86</v>
      </c>
      <c r="B18" s="159">
        <f>'Assumptions'!B26</f>
        <v>35000</v>
      </c>
      <c r="C18" s="144"/>
      <c r="D18" s="164">
        <f>'Industry Averages'!C25</f>
        <v>0.074</v>
      </c>
      <c r="E18" t="s" s="167">
        <v>165</v>
      </c>
      <c r="F18" s="161">
        <f>($B$18/12)</f>
        <v>2916.666666666670</v>
      </c>
      <c r="G18" s="161">
        <f>($B$18/12)</f>
        <v>2916.666666666670</v>
      </c>
      <c r="H18" s="161">
        <f>($B$18/12)</f>
        <v>2916.666666666670</v>
      </c>
      <c r="I18" s="161">
        <f>($B$18/12)</f>
        <v>2916.666666666670</v>
      </c>
      <c r="J18" s="161">
        <f>($B$18/12)</f>
        <v>2916.666666666670</v>
      </c>
      <c r="K18" s="161">
        <f>($B$18/12)</f>
        <v>2916.666666666670</v>
      </c>
      <c r="L18" s="161">
        <f>($B$18/12)</f>
        <v>2916.666666666670</v>
      </c>
      <c r="M18" s="161">
        <f>($B$18/12)</f>
        <v>2916.666666666670</v>
      </c>
      <c r="N18" s="161">
        <f>($B$18/12)</f>
        <v>2916.666666666670</v>
      </c>
      <c r="O18" s="161">
        <f>($B$18/12)</f>
        <v>2916.666666666670</v>
      </c>
      <c r="P18" s="161">
        <f>($B$18/12)</f>
        <v>2916.666666666670</v>
      </c>
      <c r="Q18" s="161">
        <f>($B$18/12)</f>
        <v>2916.666666666670</v>
      </c>
      <c r="R18" s="161">
        <f>SUM(F18:Q18)</f>
        <v>35000</v>
      </c>
      <c r="S18" s="165">
        <f>(R18/$R$10)</f>
        <v>0.101020203030404</v>
      </c>
    </row>
    <row r="19" ht="14.7" customHeight="1">
      <c r="A19" t="s" s="160">
        <v>209</v>
      </c>
      <c r="B19" s="159">
        <f>($B$10*D19)</f>
        <v>4504.5</v>
      </c>
      <c r="C19" s="144"/>
      <c r="D19" s="164">
        <f>'Industry Averages'!C26+'Industry Averages'!C27+'Industry Averages'!C28</f>
        <v>0.013</v>
      </c>
      <c r="E19" s="144"/>
      <c r="F19" s="161">
        <f>($B$19/12)</f>
        <v>375.375</v>
      </c>
      <c r="G19" s="161">
        <f>($B$19/12)</f>
        <v>375.375</v>
      </c>
      <c r="H19" s="161">
        <f>($B$19/12)</f>
        <v>375.375</v>
      </c>
      <c r="I19" s="161">
        <f>($B$19/12)</f>
        <v>375.375</v>
      </c>
      <c r="J19" s="161">
        <f>($B$19/12)</f>
        <v>375.375</v>
      </c>
      <c r="K19" s="161">
        <f>($B$19/12)</f>
        <v>375.375</v>
      </c>
      <c r="L19" s="161">
        <f>($B$19/12)</f>
        <v>375.375</v>
      </c>
      <c r="M19" s="161">
        <f>($B$19/12)</f>
        <v>375.375</v>
      </c>
      <c r="N19" s="161">
        <f>($B$19/12)</f>
        <v>375.375</v>
      </c>
      <c r="O19" s="161">
        <f>($B$19/12)</f>
        <v>375.375</v>
      </c>
      <c r="P19" s="161">
        <f>($B$19/12)</f>
        <v>375.375</v>
      </c>
      <c r="Q19" s="161">
        <f>($B$19/12)</f>
        <v>375.375</v>
      </c>
      <c r="R19" s="161">
        <f>SUM(F19:Q19)</f>
        <v>4504.5</v>
      </c>
      <c r="S19" s="165">
        <f>(R19/$R$10)</f>
        <v>0.013001300130013</v>
      </c>
    </row>
    <row r="20" ht="14.7" customHeight="1">
      <c r="A20" t="s" s="160">
        <v>210</v>
      </c>
      <c r="B20" s="159">
        <f>($B$10*$D20)</f>
        <v>10395</v>
      </c>
      <c r="C20" s="144"/>
      <c r="D20" s="164">
        <f>'Assumptions'!C52</f>
        <v>0.03</v>
      </c>
      <c r="E20" t="s" s="167">
        <v>165</v>
      </c>
      <c r="F20" s="161">
        <f>(F10*$D$20)</f>
        <v>713.097</v>
      </c>
      <c r="G20" s="161">
        <f>(G10*$D$20)</f>
        <v>717.255</v>
      </c>
      <c r="H20" s="161">
        <f>(H10*$D$20)</f>
        <v>780.6645</v>
      </c>
      <c r="I20" s="161">
        <f>(I10*$D$20)</f>
        <v>685.0305</v>
      </c>
      <c r="J20" s="161">
        <f>(J10*$D$20)</f>
        <v>940.7474999999999</v>
      </c>
      <c r="K20" s="161">
        <f>(K10*$D$20)</f>
        <v>794.178</v>
      </c>
      <c r="L20" s="161">
        <f>(L10*$D$20)</f>
        <v>836.7975</v>
      </c>
      <c r="M20" s="161">
        <f>(M10*$D$20)</f>
        <v>858.627</v>
      </c>
      <c r="N20" s="161">
        <f>(N10*$D$20)</f>
        <v>782.7435</v>
      </c>
      <c r="O20" s="161">
        <f>(O10*$D$20)</f>
        <v>797.2965</v>
      </c>
      <c r="P20" s="161">
        <f>(P10*$D$20)</f>
        <v>903.3255</v>
      </c>
      <c r="Q20" s="161">
        <f>(Q10*$D$20)</f>
        <v>1584.198</v>
      </c>
      <c r="R20" s="161">
        <f>SUM(F20:Q20)</f>
        <v>10393.9605</v>
      </c>
      <c r="S20" s="165">
        <f>(R20/$R$10)</f>
        <v>0.03</v>
      </c>
    </row>
    <row r="21" ht="14.7" customHeight="1">
      <c r="A21" t="s" s="160">
        <v>95</v>
      </c>
      <c r="B21" s="159">
        <f>($B$10*$D21)</f>
        <v>2079</v>
      </c>
      <c r="C21" s="144"/>
      <c r="D21" s="164">
        <f>'Industry Averages'!C33</f>
        <v>0.006</v>
      </c>
      <c r="E21" s="144"/>
      <c r="F21" s="161">
        <f>($B$21/12)</f>
        <v>173.25</v>
      </c>
      <c r="G21" s="161">
        <f>($B$21/12)</f>
        <v>173.25</v>
      </c>
      <c r="H21" s="161">
        <f>($B$21/12)</f>
        <v>173.25</v>
      </c>
      <c r="I21" s="161">
        <f>($B$21/12)</f>
        <v>173.25</v>
      </c>
      <c r="J21" s="161">
        <f>($B$21/12)</f>
        <v>173.25</v>
      </c>
      <c r="K21" s="161">
        <f>($B$21/12)</f>
        <v>173.25</v>
      </c>
      <c r="L21" s="161">
        <f>($B$21/12)</f>
        <v>173.25</v>
      </c>
      <c r="M21" s="161">
        <f>($B$21/12)</f>
        <v>173.25</v>
      </c>
      <c r="N21" s="161">
        <f>($B$21/12)</f>
        <v>173.25</v>
      </c>
      <c r="O21" s="161">
        <f>($B$21/12)</f>
        <v>173.25</v>
      </c>
      <c r="P21" s="161">
        <f>($B$21/12)</f>
        <v>173.25</v>
      </c>
      <c r="Q21" s="161">
        <f>($B$21/12)</f>
        <v>173.25</v>
      </c>
      <c r="R21" s="161">
        <f>SUM(F21:Q21)</f>
        <v>2079</v>
      </c>
      <c r="S21" s="165">
        <f>(R21/$R$10)</f>
        <v>0.006000600060006</v>
      </c>
    </row>
    <row r="22" ht="14.7" customHeight="1">
      <c r="A22" t="s" s="160">
        <v>162</v>
      </c>
      <c r="B22" s="159">
        <f>($B$10*$D22)</f>
        <v>2079</v>
      </c>
      <c r="C22" s="144"/>
      <c r="D22" s="164">
        <f>'Industry Averages'!C34</f>
        <v>0.006</v>
      </c>
      <c r="E22" s="144"/>
      <c r="F22" s="161">
        <f>($B$22/12)</f>
        <v>173.25</v>
      </c>
      <c r="G22" s="161">
        <f>($B$22/12)</f>
        <v>173.25</v>
      </c>
      <c r="H22" s="161">
        <f>($B$22/12)</f>
        <v>173.25</v>
      </c>
      <c r="I22" s="161">
        <f>($B$22/12)</f>
        <v>173.25</v>
      </c>
      <c r="J22" s="161">
        <f>($B$22/12)</f>
        <v>173.25</v>
      </c>
      <c r="K22" s="161">
        <f>($B$22/12)</f>
        <v>173.25</v>
      </c>
      <c r="L22" s="161">
        <f>($B$22/12)</f>
        <v>173.25</v>
      </c>
      <c r="M22" s="161">
        <f>($B$22/12)</f>
        <v>173.25</v>
      </c>
      <c r="N22" s="161">
        <f>($B$22/12)</f>
        <v>173.25</v>
      </c>
      <c r="O22" s="161">
        <f>($B$22/12)</f>
        <v>173.25</v>
      </c>
      <c r="P22" s="161">
        <f>($B$22/12)</f>
        <v>173.25</v>
      </c>
      <c r="Q22" s="161">
        <f>($B$22/12)</f>
        <v>173.25</v>
      </c>
      <c r="R22" s="161">
        <f>SUM(F22:Q22)</f>
        <v>2079</v>
      </c>
      <c r="S22" s="165">
        <f>(R22/$R$10)</f>
        <v>0.006000600060006</v>
      </c>
    </row>
    <row r="23" ht="14.7" customHeight="1">
      <c r="A23" t="s" s="160">
        <v>211</v>
      </c>
      <c r="B23" s="159">
        <f>($B$10*$D23)</f>
        <v>3465</v>
      </c>
      <c r="C23" s="144"/>
      <c r="D23" s="164">
        <f>'Industry Averages'!C35</f>
        <v>0.01</v>
      </c>
      <c r="E23" s="144"/>
      <c r="F23" s="161">
        <f>($B$23/12)</f>
        <v>288.75</v>
      </c>
      <c r="G23" s="161">
        <f>($B$23/12)</f>
        <v>288.75</v>
      </c>
      <c r="H23" s="161">
        <f>($B$23/12)</f>
        <v>288.75</v>
      </c>
      <c r="I23" s="161">
        <f>($B$23/12)</f>
        <v>288.75</v>
      </c>
      <c r="J23" s="161">
        <f>($B$23/12)</f>
        <v>288.75</v>
      </c>
      <c r="K23" s="161">
        <f>($B$23/12)</f>
        <v>288.75</v>
      </c>
      <c r="L23" s="161">
        <f>($B$23/12)</f>
        <v>288.75</v>
      </c>
      <c r="M23" s="161">
        <f>($B$23/12)</f>
        <v>288.75</v>
      </c>
      <c r="N23" s="161">
        <f>($B$23/12)</f>
        <v>288.75</v>
      </c>
      <c r="O23" s="161">
        <f>($B$23/12)</f>
        <v>288.75</v>
      </c>
      <c r="P23" s="161">
        <f>($B$23/12)</f>
        <v>288.75</v>
      </c>
      <c r="Q23" s="161">
        <f>($B$23/12)</f>
        <v>288.75</v>
      </c>
      <c r="R23" s="161">
        <f>SUM(F23:Q23)</f>
        <v>3465</v>
      </c>
      <c r="S23" s="165">
        <f>(R23/$R$10)</f>
        <v>0.01000100010001</v>
      </c>
    </row>
    <row r="24" ht="14.7" customHeight="1">
      <c r="A24" t="s" s="160">
        <v>101</v>
      </c>
      <c r="B24" s="159">
        <f>($B$10*$D24)</f>
        <v>1732.5</v>
      </c>
      <c r="C24" s="144"/>
      <c r="D24" s="164">
        <f>'Industry Averages'!C36</f>
        <v>0.005</v>
      </c>
      <c r="E24" s="144"/>
      <c r="F24" s="145"/>
      <c r="G24" s="161"/>
      <c r="H24" s="145"/>
      <c r="I24" s="145"/>
      <c r="J24" s="145"/>
      <c r="K24" s="145"/>
      <c r="L24" s="145"/>
      <c r="M24" s="145"/>
      <c r="N24" s="145"/>
      <c r="O24" s="161"/>
      <c r="P24" s="145"/>
      <c r="Q24" s="161">
        <f>$B$24</f>
        <v>1732.5</v>
      </c>
      <c r="R24" s="161">
        <f>SUM(F24:Q24)</f>
        <v>1732.5</v>
      </c>
      <c r="S24" s="165">
        <f>(R24/$R$10)</f>
        <v>0.005000500050005</v>
      </c>
    </row>
    <row r="25" ht="14.7" customHeight="1">
      <c r="A25" t="s" s="160">
        <v>212</v>
      </c>
      <c r="B25" s="159">
        <f>($B$10*$D25)</f>
        <v>2425.5</v>
      </c>
      <c r="C25" s="144"/>
      <c r="D25" s="164">
        <f>'Industry Averages'!C37</f>
        <v>0.007</v>
      </c>
      <c r="E25" s="144"/>
      <c r="F25" t="s" s="146">
        <v>2</v>
      </c>
      <c r="G25" s="161">
        <f>($B$25/2)</f>
        <v>1212.75</v>
      </c>
      <c r="H25" t="s" s="146">
        <v>2</v>
      </c>
      <c r="I25" t="s" s="146">
        <v>2</v>
      </c>
      <c r="J25" t="s" s="146">
        <v>2</v>
      </c>
      <c r="K25" t="s" s="146">
        <v>2</v>
      </c>
      <c r="L25" t="s" s="146">
        <v>2</v>
      </c>
      <c r="M25" t="s" s="146">
        <v>2</v>
      </c>
      <c r="N25" t="s" s="146">
        <v>2</v>
      </c>
      <c r="O25" s="161">
        <f>($B$25/2)</f>
        <v>1212.75</v>
      </c>
      <c r="P25" t="s" s="146">
        <v>2</v>
      </c>
      <c r="Q25" t="s" s="146">
        <v>2</v>
      </c>
      <c r="R25" s="161">
        <f>SUM(F25:Q25)</f>
        <v>2425.5</v>
      </c>
      <c r="S25" s="165">
        <f>(R25/$R$10)</f>
        <v>0.007000700070007</v>
      </c>
    </row>
    <row r="26" ht="14.7" customHeight="1">
      <c r="A26" t="s" s="160">
        <v>213</v>
      </c>
      <c r="B26" s="159">
        <f>($B$10*$D26)</f>
        <v>2079</v>
      </c>
      <c r="C26" s="144"/>
      <c r="D26" s="164">
        <f>'Industry Averages'!C38</f>
        <v>0.006</v>
      </c>
      <c r="E26" s="144"/>
      <c r="F26" t="s" s="146">
        <v>2</v>
      </c>
      <c r="G26" t="s" s="146">
        <v>2</v>
      </c>
      <c r="H26" t="s" s="146">
        <v>2</v>
      </c>
      <c r="I26" t="s" s="146">
        <v>2</v>
      </c>
      <c r="J26" s="161">
        <f>B26</f>
        <v>2079</v>
      </c>
      <c r="K26" t="s" s="146">
        <v>2</v>
      </c>
      <c r="L26" t="s" s="146">
        <v>2</v>
      </c>
      <c r="M26" t="s" s="146">
        <v>2</v>
      </c>
      <c r="N26" t="s" s="146">
        <v>2</v>
      </c>
      <c r="O26" t="s" s="146">
        <v>2</v>
      </c>
      <c r="P26" t="s" s="146">
        <v>2</v>
      </c>
      <c r="Q26" t="s" s="146">
        <v>2</v>
      </c>
      <c r="R26" s="161">
        <f>SUM(F26:Q26)</f>
        <v>2079</v>
      </c>
      <c r="S26" s="165">
        <f>(R26/$R$10)</f>
        <v>0.006000600060006</v>
      </c>
    </row>
    <row r="27" ht="14.7" customHeight="1">
      <c r="A27" t="s" s="160">
        <v>214</v>
      </c>
      <c r="B27" s="159">
        <f>($B$10*$D27)</f>
        <v>6930</v>
      </c>
      <c r="C27" s="144"/>
      <c r="D27" s="164">
        <f>'Industry Averages'!C40</f>
        <v>0.02</v>
      </c>
      <c r="E27" s="144"/>
      <c r="F27" s="161">
        <f>(F10*$D$27)</f>
        <v>475.398</v>
      </c>
      <c r="G27" s="161">
        <f>(G10*$D$27)</f>
        <v>478.17</v>
      </c>
      <c r="H27" s="161">
        <f>(H10*$D$27)</f>
        <v>520.443</v>
      </c>
      <c r="I27" s="161">
        <f>(I10*$D$27)</f>
        <v>456.687</v>
      </c>
      <c r="J27" s="161">
        <f>(J10*$D$27)</f>
        <v>627.165</v>
      </c>
      <c r="K27" s="161">
        <f>(K10*$D$27)</f>
        <v>529.452</v>
      </c>
      <c r="L27" s="161">
        <f>(L10*$D$27)</f>
        <v>557.865</v>
      </c>
      <c r="M27" s="161">
        <f>(M10*$D$27)</f>
        <v>572.418</v>
      </c>
      <c r="N27" s="161">
        <f>(N10*$D$27)</f>
        <v>521.829</v>
      </c>
      <c r="O27" s="161">
        <f>(O10*$D$27)</f>
        <v>531.5309999999999</v>
      </c>
      <c r="P27" s="161">
        <f>(P10*$D$27)</f>
        <v>602.217</v>
      </c>
      <c r="Q27" s="161">
        <f>(Q10*$D$27)</f>
        <v>1056.132</v>
      </c>
      <c r="R27" s="161">
        <f>SUM(F27:Q27)</f>
        <v>6929.307</v>
      </c>
      <c r="S27" s="165">
        <f>(R27/$R$10)</f>
        <v>0.02</v>
      </c>
    </row>
    <row r="28" ht="14.7" customHeight="1">
      <c r="A28" t="s" s="160">
        <v>175</v>
      </c>
      <c r="B28" s="159">
        <f>($B$10*$D28)</f>
        <v>1386</v>
      </c>
      <c r="C28" s="144"/>
      <c r="D28" s="164">
        <f>'Industry Averages'!C41</f>
        <v>0.004</v>
      </c>
      <c r="E28" s="144"/>
      <c r="F28" s="161">
        <f>($B$28/2)</f>
        <v>693</v>
      </c>
      <c r="G28" t="s" s="146">
        <v>2</v>
      </c>
      <c r="H28" t="s" s="146">
        <v>2</v>
      </c>
      <c r="I28" t="s" s="146">
        <v>2</v>
      </c>
      <c r="J28" t="s" s="146">
        <v>2</v>
      </c>
      <c r="K28" t="s" s="146">
        <v>2</v>
      </c>
      <c r="L28" s="161">
        <f>($B$28/2)</f>
        <v>693</v>
      </c>
      <c r="M28" t="s" s="146">
        <v>2</v>
      </c>
      <c r="N28" t="s" s="146">
        <v>2</v>
      </c>
      <c r="O28" t="s" s="146">
        <v>2</v>
      </c>
      <c r="P28" t="s" s="146">
        <v>2</v>
      </c>
      <c r="Q28" t="s" s="146">
        <v>2</v>
      </c>
      <c r="R28" s="161">
        <f>SUM(F28:Q28)</f>
        <v>1386</v>
      </c>
      <c r="S28" s="165">
        <f>(R28/$R$10)</f>
        <v>0.004000400040004</v>
      </c>
    </row>
    <row r="29" ht="14.7" customHeight="1">
      <c r="A29" t="s" s="160">
        <v>111</v>
      </c>
      <c r="B29" s="159">
        <f>($B$10*$D29)</f>
        <v>2079</v>
      </c>
      <c r="C29" s="144"/>
      <c r="D29" s="164">
        <f>'Industry Averages'!C42</f>
        <v>0.006</v>
      </c>
      <c r="E29" s="144"/>
      <c r="F29" t="s" s="146">
        <v>2</v>
      </c>
      <c r="G29" t="s" s="146">
        <v>2</v>
      </c>
      <c r="H29" s="161">
        <f>($B$29/3)</f>
        <v>693</v>
      </c>
      <c r="I29" t="s" s="146">
        <v>2</v>
      </c>
      <c r="J29" t="s" s="146">
        <v>2</v>
      </c>
      <c r="K29" s="161">
        <f>($B$29/3)</f>
        <v>693</v>
      </c>
      <c r="L29" t="s" s="146">
        <v>2</v>
      </c>
      <c r="M29" t="s" s="146">
        <v>2</v>
      </c>
      <c r="N29" t="s" s="146">
        <v>2</v>
      </c>
      <c r="O29" t="s" s="146">
        <v>2</v>
      </c>
      <c r="P29" s="161">
        <f>($B$29/3)</f>
        <v>693</v>
      </c>
      <c r="Q29" t="s" s="146">
        <v>2</v>
      </c>
      <c r="R29" s="161">
        <f>SUM(F29:Q29)</f>
        <v>2079</v>
      </c>
      <c r="S29" s="165">
        <f>(R29/$R$10)</f>
        <v>0.006000600060006</v>
      </c>
    </row>
    <row r="30" ht="14.7" customHeight="1">
      <c r="A30" t="s" s="160">
        <v>215</v>
      </c>
      <c r="B30" s="159">
        <f>($B$10*$D30)</f>
        <v>1039.5</v>
      </c>
      <c r="C30" s="144"/>
      <c r="D30" s="164">
        <f>'Industry Averages'!C43</f>
        <v>0.003</v>
      </c>
      <c r="E30" s="144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>
        <f>B30</f>
        <v>1039.5</v>
      </c>
      <c r="R30" s="161">
        <f>SUM(F30:Q30)</f>
        <v>1039.5</v>
      </c>
      <c r="S30" s="165">
        <f>(R30/$R$10)</f>
        <v>0.003000300030003</v>
      </c>
    </row>
    <row r="31" ht="14.7" customHeight="1">
      <c r="A31" t="s" s="160">
        <v>216</v>
      </c>
      <c r="B31" s="159">
        <f>($B$10*$D31)</f>
        <v>1039.5</v>
      </c>
      <c r="C31" s="144"/>
      <c r="D31" s="164">
        <f>'Industry Averages'!C44</f>
        <v>0.003</v>
      </c>
      <c r="E31" s="144"/>
      <c r="F31" s="161">
        <f>($B$31/12)</f>
        <v>86.625</v>
      </c>
      <c r="G31" s="161">
        <f>($B$31/12)</f>
        <v>86.625</v>
      </c>
      <c r="H31" s="161">
        <f>($B$31/12)</f>
        <v>86.625</v>
      </c>
      <c r="I31" s="161">
        <f>($B$31/12)</f>
        <v>86.625</v>
      </c>
      <c r="J31" s="161">
        <f>($B$31/12)</f>
        <v>86.625</v>
      </c>
      <c r="K31" s="161">
        <f>($B$31/12)</f>
        <v>86.625</v>
      </c>
      <c r="L31" s="161">
        <f>($B$31/12)</f>
        <v>86.625</v>
      </c>
      <c r="M31" s="161">
        <f>($B$31/12)</f>
        <v>86.625</v>
      </c>
      <c r="N31" s="161">
        <f>($B$31/12)</f>
        <v>86.625</v>
      </c>
      <c r="O31" s="161">
        <f>($B$31/12)</f>
        <v>86.625</v>
      </c>
      <c r="P31" s="161">
        <f>($B$31/12)</f>
        <v>86.625</v>
      </c>
      <c r="Q31" s="161">
        <f>($B$31/12)</f>
        <v>86.625</v>
      </c>
      <c r="R31" s="161">
        <f>SUM(F31:Q31)</f>
        <v>1039.5</v>
      </c>
      <c r="S31" s="165">
        <f>(R31/$R$10)</f>
        <v>0.003000300030003</v>
      </c>
    </row>
    <row r="32" ht="14.7" customHeight="1">
      <c r="A32" t="s" s="160">
        <v>115</v>
      </c>
      <c r="B32" s="159">
        <f>($B$10*$D32)</f>
        <v>1039.5</v>
      </c>
      <c r="C32" s="144"/>
      <c r="D32" s="164">
        <f>'Industry Averages'!C45</f>
        <v>0.003</v>
      </c>
      <c r="E32" s="144"/>
      <c r="F32" s="161">
        <f>($B$32/12)</f>
        <v>86.625</v>
      </c>
      <c r="G32" s="161">
        <f>($B$32/12)</f>
        <v>86.625</v>
      </c>
      <c r="H32" s="161">
        <f>($B$32/12)</f>
        <v>86.625</v>
      </c>
      <c r="I32" s="161">
        <f>($B$32/12)</f>
        <v>86.625</v>
      </c>
      <c r="J32" s="161">
        <f>($B$32/12)</f>
        <v>86.625</v>
      </c>
      <c r="K32" s="161">
        <f>($B$32/12)</f>
        <v>86.625</v>
      </c>
      <c r="L32" s="161">
        <f>($B$32/12)</f>
        <v>86.625</v>
      </c>
      <c r="M32" s="161">
        <f>($B$32/12)</f>
        <v>86.625</v>
      </c>
      <c r="N32" s="161">
        <f>($B$32/12)</f>
        <v>86.625</v>
      </c>
      <c r="O32" s="161">
        <f>($B$32/12)</f>
        <v>86.625</v>
      </c>
      <c r="P32" s="161">
        <f>($B$32/12)</f>
        <v>86.625</v>
      </c>
      <c r="Q32" s="161">
        <f>($B$32/12)</f>
        <v>86.625</v>
      </c>
      <c r="R32" s="161">
        <f>SUM(F32:Q32)</f>
        <v>1039.5</v>
      </c>
      <c r="S32" s="165">
        <f>(R32/$R$10)</f>
        <v>0.003000300030003</v>
      </c>
    </row>
    <row r="33" ht="14.7" customHeight="1">
      <c r="A33" t="s" s="160">
        <v>217</v>
      </c>
      <c r="B33" s="159">
        <f>($B$10*$D33)</f>
        <v>2079</v>
      </c>
      <c r="C33" s="144"/>
      <c r="D33" s="164">
        <f>'Industry Averages'!C46</f>
        <v>0.006</v>
      </c>
      <c r="E33" s="144"/>
      <c r="F33" s="161">
        <f>($B$33/12)</f>
        <v>173.25</v>
      </c>
      <c r="G33" s="161">
        <f>($B$33/12)</f>
        <v>173.25</v>
      </c>
      <c r="H33" s="161">
        <f>($B$33/12)</f>
        <v>173.25</v>
      </c>
      <c r="I33" s="161">
        <f>($B$33/12)</f>
        <v>173.25</v>
      </c>
      <c r="J33" s="161">
        <f>($B$33/12)</f>
        <v>173.25</v>
      </c>
      <c r="K33" s="161">
        <f>($B$33/12)</f>
        <v>173.25</v>
      </c>
      <c r="L33" s="161">
        <f>($B$33/12)</f>
        <v>173.25</v>
      </c>
      <c r="M33" s="161">
        <f>($B$33/12)</f>
        <v>173.25</v>
      </c>
      <c r="N33" s="161">
        <f>($B$33/12)</f>
        <v>173.25</v>
      </c>
      <c r="O33" s="161">
        <f>($B$33/12)</f>
        <v>173.25</v>
      </c>
      <c r="P33" s="161">
        <f>($B$33/12)</f>
        <v>173.25</v>
      </c>
      <c r="Q33" s="161">
        <f>($B$33/12)</f>
        <v>173.25</v>
      </c>
      <c r="R33" s="161">
        <f>SUM(F33:Q33)</f>
        <v>2079</v>
      </c>
      <c r="S33" s="165">
        <f>(R33/$R$10)</f>
        <v>0.006000600060006</v>
      </c>
    </row>
    <row r="34" ht="9" customHeight="1">
      <c r="A34" t="s" s="169">
        <v>2</v>
      </c>
      <c r="B34" s="159"/>
      <c r="C34" s="144"/>
      <c r="D34" s="144"/>
      <c r="E34" s="144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t="s" s="146">
        <v>2</v>
      </c>
      <c r="R34" s="161"/>
      <c r="S34" t="s" s="146">
        <v>2</v>
      </c>
    </row>
    <row r="35" ht="14.7" customHeight="1">
      <c r="A35" t="s" s="160">
        <v>218</v>
      </c>
      <c r="B35" s="159">
        <f>SUM(B14:B33)</f>
        <v>377862</v>
      </c>
      <c r="C35" s="144"/>
      <c r="D35" s="144"/>
      <c r="E35" s="144"/>
      <c r="F35" s="161">
        <f>SUM(F14:F34)</f>
        <v>28226.0478447489</v>
      </c>
      <c r="G35" s="161">
        <f>SUM(G14:G34)</f>
        <v>28031.4172146119</v>
      </c>
      <c r="H35" s="161">
        <f>SUM(H14:H34)</f>
        <v>29644.9653447489</v>
      </c>
      <c r="I35" s="161">
        <f>SUM(I14:I34)</f>
        <v>26676.4184680365</v>
      </c>
      <c r="J35" s="161">
        <f>SUM(J14:J34)</f>
        <v>34392.7083447489</v>
      </c>
      <c r="K35" s="161">
        <f>SUM(K14:K34)</f>
        <v>29661.5159680365</v>
      </c>
      <c r="L35" s="161">
        <f>SUM(L14:L34)</f>
        <v>30823.7583447489</v>
      </c>
      <c r="M35" s="161">
        <f>SUM(M14:M34)</f>
        <v>30589.1778447489</v>
      </c>
      <c r="N35" s="161">
        <f>SUM(N14:N34)</f>
        <v>28728.3914680365</v>
      </c>
      <c r="O35" s="161">
        <f>SUM(O14:O34)</f>
        <v>30513.9873447489</v>
      </c>
      <c r="P35" s="161">
        <f>SUM(P14:P34)</f>
        <v>31953.6134680365</v>
      </c>
      <c r="Q35" s="161">
        <f>SUM(Q14:Q34)</f>
        <v>48598.1688447489</v>
      </c>
      <c r="R35" s="161">
        <f>SUM(R14:R34)</f>
        <v>377840.1705</v>
      </c>
      <c r="S35" s="165">
        <f>(R35/$R$10)</f>
        <v>1.09055687819864</v>
      </c>
    </row>
    <row r="36" ht="14.7" customHeight="1">
      <c r="A36" s="153"/>
      <c r="B36" s="159"/>
      <c r="C36" s="144"/>
      <c r="D36" s="144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</row>
    <row r="37" ht="14.7" customHeight="1">
      <c r="A37" t="s" s="170">
        <v>120</v>
      </c>
      <c r="B37" s="162">
        <f>(B10-B35)</f>
        <v>-31362</v>
      </c>
      <c r="C37" s="171"/>
      <c r="D37" s="171"/>
      <c r="E37" s="171"/>
      <c r="F37" s="172">
        <f>(F10-F35)</f>
        <v>-4456.1478447489</v>
      </c>
      <c r="G37" s="172">
        <f>(G10-G35)</f>
        <v>-4122.9172146119</v>
      </c>
      <c r="H37" s="172">
        <f>(H10-H35)</f>
        <v>-3622.8153447489</v>
      </c>
      <c r="I37" s="172">
        <f>(I10-I35)</f>
        <v>-3842.0684680365</v>
      </c>
      <c r="J37" s="172">
        <f>(J10-J35)</f>
        <v>-3034.4583447489</v>
      </c>
      <c r="K37" s="172">
        <f>(K10-K35)</f>
        <v>-3188.9159680365</v>
      </c>
      <c r="L37" s="172">
        <f>(L10-L35)</f>
        <v>-2930.5083447489</v>
      </c>
      <c r="M37" s="172">
        <f>(M10-M35)</f>
        <v>-1968.2778447489</v>
      </c>
      <c r="N37" s="172">
        <f>(N10-N35)</f>
        <v>-2636.9414680365</v>
      </c>
      <c r="O37" s="172">
        <f>(O10-O35)</f>
        <v>-3937.4373447489</v>
      </c>
      <c r="P37" s="172">
        <f>(P10-P35)</f>
        <v>-1842.7634680365</v>
      </c>
      <c r="Q37" s="172">
        <f>(Q10-Q35)</f>
        <v>4208.4311552511</v>
      </c>
      <c r="R37" s="172">
        <f>SUM(F37:Q37)</f>
        <v>-31374.8205000002</v>
      </c>
      <c r="S37" s="173">
        <f>R37/R10</f>
        <v>-0.090556878198643</v>
      </c>
    </row>
    <row r="38" ht="14.7" customHeight="1">
      <c r="A38" t="s" s="160">
        <v>219</v>
      </c>
      <c r="B38" s="159"/>
      <c r="C38" s="144"/>
      <c r="D38" s="144"/>
      <c r="E38" s="144"/>
      <c r="F38" s="161">
        <f>'Funding'!B15</f>
        <v>0</v>
      </c>
      <c r="G38" s="161">
        <f>$F$38</f>
        <v>0</v>
      </c>
      <c r="H38" s="161">
        <f>$F$38</f>
        <v>0</v>
      </c>
      <c r="I38" s="161">
        <f>$F$38</f>
        <v>0</v>
      </c>
      <c r="J38" s="161">
        <f>$F$38</f>
        <v>0</v>
      </c>
      <c r="K38" s="161">
        <f>$F$38</f>
        <v>0</v>
      </c>
      <c r="L38" s="161">
        <f>$F$38</f>
        <v>0</v>
      </c>
      <c r="M38" s="161">
        <f>$F$38</f>
        <v>0</v>
      </c>
      <c r="N38" s="161">
        <f>$F$38</f>
        <v>0</v>
      </c>
      <c r="O38" s="161">
        <f>$F$38</f>
        <v>0</v>
      </c>
      <c r="P38" s="161">
        <f>$F$38</f>
        <v>0</v>
      </c>
      <c r="Q38" s="161">
        <f>$F$38</f>
        <v>0</v>
      </c>
      <c r="R38" s="172">
        <f>SUM(F38:Q38)</f>
        <v>0</v>
      </c>
      <c r="S38" s="145"/>
    </row>
    <row r="39" ht="14.7" customHeight="1">
      <c r="A39" t="s" s="148">
        <v>220</v>
      </c>
      <c r="B39" s="159"/>
      <c r="C39" s="144"/>
      <c r="D39" s="144"/>
      <c r="E39" s="144"/>
      <c r="F39" s="161">
        <f>(F37-F38)</f>
        <v>-4456.1478447489</v>
      </c>
      <c r="G39" s="161">
        <f>(G37-G38)</f>
        <v>-4122.9172146119</v>
      </c>
      <c r="H39" s="161">
        <f>(H37-H38)</f>
        <v>-3622.8153447489</v>
      </c>
      <c r="I39" s="161">
        <f>(I37-I38)</f>
        <v>-3842.0684680365</v>
      </c>
      <c r="J39" s="161">
        <f>(J37-J38)</f>
        <v>-3034.4583447489</v>
      </c>
      <c r="K39" s="161">
        <f>(K37-K38)</f>
        <v>-3188.9159680365</v>
      </c>
      <c r="L39" s="161">
        <f>(L37-L38)</f>
        <v>-2930.5083447489</v>
      </c>
      <c r="M39" s="161">
        <f>(M37-M38)</f>
        <v>-1968.2778447489</v>
      </c>
      <c r="N39" s="161">
        <f>(N37-N38)</f>
        <v>-2636.9414680365</v>
      </c>
      <c r="O39" s="161">
        <f>(O37-O38)</f>
        <v>-3937.4373447489</v>
      </c>
      <c r="P39" s="161">
        <f>(P37-P38)</f>
        <v>-1842.7634680365</v>
      </c>
      <c r="Q39" s="161">
        <f>(Q37-Q38)</f>
        <v>4208.4311552511</v>
      </c>
      <c r="R39" s="172">
        <f>SUM(F39:Q39)</f>
        <v>-31374.8205000002</v>
      </c>
      <c r="S39" s="174">
        <f>(R39/R10)</f>
        <v>-0.090556878198643</v>
      </c>
    </row>
    <row r="40" ht="14.7" customHeight="1">
      <c r="A40" s="153"/>
      <c r="B40" s="159"/>
      <c r="C40" s="144"/>
      <c r="D40" s="144"/>
      <c r="E40" s="144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</row>
    <row r="41" ht="14.7" customHeight="1">
      <c r="A41" t="s" s="160">
        <v>221</v>
      </c>
      <c r="B41" s="159"/>
      <c r="C41" s="144"/>
      <c r="D41" t="s" s="167">
        <v>2</v>
      </c>
      <c r="E41" s="144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</row>
    <row r="42" ht="14.7" customHeight="1">
      <c r="A42" s="160"/>
      <c r="B42" s="159"/>
      <c r="C42" s="144"/>
      <c r="D42" s="167"/>
      <c r="E42" s="144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</row>
    <row r="43" ht="14.7" customHeight="1">
      <c r="A43" t="s" s="148">
        <v>222</v>
      </c>
      <c r="B43" s="159"/>
      <c r="C43" s="144"/>
      <c r="D43" s="167"/>
      <c r="E43" s="144"/>
      <c r="F43" s="175">
        <v>31</v>
      </c>
      <c r="G43" s="175">
        <v>28</v>
      </c>
      <c r="H43" s="175">
        <v>31</v>
      </c>
      <c r="I43" s="175">
        <v>30</v>
      </c>
      <c r="J43" s="175">
        <v>31</v>
      </c>
      <c r="K43" s="175">
        <v>30</v>
      </c>
      <c r="L43" s="175">
        <v>31</v>
      </c>
      <c r="M43" s="175">
        <v>31</v>
      </c>
      <c r="N43" s="175">
        <v>30</v>
      </c>
      <c r="O43" s="175">
        <v>31</v>
      </c>
      <c r="P43" s="175">
        <v>30</v>
      </c>
      <c r="Q43" s="175">
        <v>31</v>
      </c>
      <c r="R43" s="175">
        <f>SUM(A43:Q43)</f>
        <v>365</v>
      </c>
      <c r="S43" s="145"/>
    </row>
    <row r="44" ht="14.7" customHeight="1">
      <c r="A44" t="s" s="148">
        <v>223</v>
      </c>
      <c r="B44" s="159"/>
      <c r="C44" s="144"/>
      <c r="D44" s="167"/>
      <c r="E44" s="144"/>
      <c r="F44" s="176">
        <f>(F43/$R$43)</f>
        <v>0.08493150684931509</v>
      </c>
      <c r="G44" s="176">
        <f>(G43/$R$43)</f>
        <v>0.07671232876712331</v>
      </c>
      <c r="H44" s="176">
        <f>(H43/$R$43)</f>
        <v>0.08493150684931509</v>
      </c>
      <c r="I44" s="176">
        <f>(I43/$R$43)</f>
        <v>0.0821917808219178</v>
      </c>
      <c r="J44" s="176">
        <f>(J43/$R$43)</f>
        <v>0.08493150684931509</v>
      </c>
      <c r="K44" s="176">
        <f>(K43/$R$43)</f>
        <v>0.0821917808219178</v>
      </c>
      <c r="L44" s="176">
        <f>(L43/$R$43)</f>
        <v>0.08493150684931509</v>
      </c>
      <c r="M44" s="176">
        <f>(M43/$R$43)</f>
        <v>0.08493150684931509</v>
      </c>
      <c r="N44" s="176">
        <f>(N43/$R$43)</f>
        <v>0.0821917808219178</v>
      </c>
      <c r="O44" s="176">
        <f>(O43/$R$43)</f>
        <v>0.08493150684931509</v>
      </c>
      <c r="P44" s="176">
        <f>(P43/$R$43)</f>
        <v>0.0821917808219178</v>
      </c>
      <c r="Q44" s="176">
        <f>(Q43/$R$43)</f>
        <v>0.08493150684931509</v>
      </c>
      <c r="R44" s="177">
        <f>(R43/$R$43)</f>
        <v>1</v>
      </c>
      <c r="S44" s="145"/>
    </row>
  </sheetData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44"/>
  <sheetViews>
    <sheetView workbookViewId="0" showGridLines="0" defaultGridColor="1"/>
  </sheetViews>
  <sheetFormatPr defaultColWidth="8.83333" defaultRowHeight="13.9" customHeight="1" outlineLevelRow="0" outlineLevelCol="0"/>
  <cols>
    <col min="1" max="1" width="23" style="178" customWidth="1"/>
    <col min="2" max="2" width="10.5" style="178" customWidth="1"/>
    <col min="3" max="3" width="3.67188" style="178" customWidth="1"/>
    <col min="4" max="4" width="7.85156" style="178" customWidth="1"/>
    <col min="5" max="5" width="3" style="178" customWidth="1"/>
    <col min="6" max="7" width="9.67188" style="178" customWidth="1"/>
    <col min="8" max="8" width="8.85156" style="178" customWidth="1"/>
    <col min="9" max="9" width="9.35156" style="178" customWidth="1"/>
    <col min="10" max="10" width="9.17188" style="178" customWidth="1"/>
    <col min="11" max="11" width="9" style="178" customWidth="1"/>
    <col min="12" max="18" width="8.85156" style="178" customWidth="1"/>
    <col min="19" max="19" width="7.85156" style="178" customWidth="1"/>
    <col min="20" max="16384" width="8.85156" style="178" customWidth="1"/>
  </cols>
  <sheetData>
    <row r="1" ht="32.65" customHeight="1">
      <c r="A1" t="s" s="139">
        <v>183</v>
      </c>
      <c r="B1" s="140"/>
      <c r="C1" s="140"/>
      <c r="D1" s="140"/>
      <c r="E1" s="140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ht="17.65" customHeight="1">
      <c r="A2" t="s" s="142">
        <v>224</v>
      </c>
      <c r="B2" t="s" s="143">
        <v>2</v>
      </c>
      <c r="C2" s="144"/>
      <c r="D2" s="144"/>
      <c r="E2" s="144"/>
      <c r="F2" s="145"/>
      <c r="G2" s="145"/>
      <c r="H2" t="s" s="146">
        <v>2</v>
      </c>
      <c r="I2" t="s" s="147">
        <v>2</v>
      </c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ht="14.7" customHeight="1">
      <c r="A3" t="s" s="148">
        <v>2</v>
      </c>
      <c r="B3" s="144"/>
      <c r="C3" s="144"/>
      <c r="D3" s="144"/>
      <c r="E3" s="144"/>
      <c r="F3" s="145"/>
      <c r="G3" s="145"/>
      <c r="H3" s="145"/>
      <c r="I3" t="s" s="147">
        <v>2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ht="14.7" customHeight="1">
      <c r="A4" t="s" s="149">
        <v>185</v>
      </c>
      <c r="B4" s="150">
        <f>'Assumptions'!B17</f>
        <v>1400</v>
      </c>
      <c r="C4" s="144"/>
      <c r="D4" s="144"/>
      <c r="E4" s="144"/>
      <c r="F4" s="145"/>
      <c r="G4" s="145"/>
      <c r="H4" s="144"/>
      <c r="I4" s="144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ht="14.7" customHeight="1">
      <c r="A5" t="s" s="149">
        <v>186</v>
      </c>
      <c r="B5" s="151">
        <f>'Assumptions'!B20</f>
        <v>1260</v>
      </c>
      <c r="C5" s="144"/>
      <c r="D5" s="152">
        <v>1</v>
      </c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ht="14.7" customHeight="1">
      <c r="A6" s="153"/>
      <c r="B6" s="144"/>
      <c r="C6" s="144"/>
      <c r="D6" s="144"/>
      <c r="E6" s="144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/>
    </row>
    <row r="7" ht="14.7" customHeight="1">
      <c r="A7" t="s" s="154">
        <v>2</v>
      </c>
      <c r="B7" t="s" s="155">
        <v>2</v>
      </c>
      <c r="C7" s="144"/>
      <c r="D7" t="s" s="143">
        <v>187</v>
      </c>
      <c r="E7" s="144"/>
      <c r="F7" t="s" s="155">
        <v>188</v>
      </c>
      <c r="G7" t="s" s="155">
        <v>189</v>
      </c>
      <c r="H7" t="s" s="155">
        <v>190</v>
      </c>
      <c r="I7" t="s" s="155">
        <v>191</v>
      </c>
      <c r="J7" t="s" s="155">
        <v>192</v>
      </c>
      <c r="K7" t="s" s="155">
        <v>193</v>
      </c>
      <c r="L7" t="s" s="155">
        <v>194</v>
      </c>
      <c r="M7" t="s" s="155">
        <v>195</v>
      </c>
      <c r="N7" t="s" s="155">
        <v>196</v>
      </c>
      <c r="O7" t="s" s="155">
        <v>197</v>
      </c>
      <c r="P7" t="s" s="155">
        <v>198</v>
      </c>
      <c r="Q7" t="s" s="155">
        <v>199</v>
      </c>
      <c r="R7" t="s" s="155">
        <v>180</v>
      </c>
      <c r="S7" t="s" s="155">
        <v>200</v>
      </c>
    </row>
    <row r="8" ht="14.7" customHeight="1">
      <c r="A8" s="153"/>
      <c r="B8" s="156"/>
      <c r="C8" s="144"/>
      <c r="D8" t="s" s="157">
        <v>201</v>
      </c>
      <c r="E8" s="158"/>
      <c r="F8" t="s" s="155">
        <v>2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t="s" s="155">
        <v>2</v>
      </c>
      <c r="S8" t="s" s="157">
        <v>202</v>
      </c>
    </row>
    <row r="9" ht="14.7" customHeight="1">
      <c r="A9" s="153"/>
      <c r="B9" s="159"/>
      <c r="C9" s="144"/>
      <c r="D9" s="144"/>
      <c r="E9" s="144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ht="14.7" customHeight="1">
      <c r="A10" t="s" s="160">
        <v>203</v>
      </c>
      <c r="B10" s="159">
        <f>(B5*B11)</f>
        <v>409500</v>
      </c>
      <c r="C10" s="144"/>
      <c r="D10" s="144"/>
      <c r="E10" s="144"/>
      <c r="F10" s="161">
        <f>($B$10*F12)</f>
        <v>28091.7</v>
      </c>
      <c r="G10" s="161">
        <f>($B$10*G12)</f>
        <v>28255.5</v>
      </c>
      <c r="H10" s="161">
        <f>($B$10*H12)</f>
        <v>30753.45</v>
      </c>
      <c r="I10" s="161">
        <f>($B$10*I12)</f>
        <v>26986.05</v>
      </c>
      <c r="J10" s="161">
        <f>($B$10*J12)</f>
        <v>37059.75</v>
      </c>
      <c r="K10" s="161">
        <f>($B$10*K12)</f>
        <v>31285.8</v>
      </c>
      <c r="L10" s="161">
        <f>($B$10*L12)</f>
        <v>32964.75</v>
      </c>
      <c r="M10" s="161">
        <f>($B$10*M12)</f>
        <v>33824.7</v>
      </c>
      <c r="N10" s="161">
        <f>($B$10*N12)</f>
        <v>30835.35</v>
      </c>
      <c r="O10" s="161">
        <f>($B$10*O12)</f>
        <v>31408.65</v>
      </c>
      <c r="P10" s="161">
        <f>($B$10*P12)</f>
        <v>35585.55</v>
      </c>
      <c r="Q10" s="161">
        <f>($B$10*Q12)</f>
        <v>62407.8</v>
      </c>
      <c r="R10" s="161">
        <f>SUM(F10:Q10)</f>
        <v>409459.05</v>
      </c>
      <c r="S10" s="161"/>
    </row>
    <row r="11" ht="14.7" customHeight="1">
      <c r="A11" t="s" s="149">
        <v>204</v>
      </c>
      <c r="B11" s="162">
        <f>'Assumptions'!C40</f>
        <v>325</v>
      </c>
      <c r="C11" s="144"/>
      <c r="D11" s="144"/>
      <c r="E11" s="144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t="s" s="146">
        <v>2</v>
      </c>
      <c r="S11" s="145"/>
    </row>
    <row r="12" ht="14.7" customHeight="1">
      <c r="A12" t="s" s="148">
        <v>205</v>
      </c>
      <c r="B12" s="159"/>
      <c r="C12" s="144"/>
      <c r="D12" s="163">
        <f>SUM(E12:Q12)</f>
        <v>0.9999</v>
      </c>
      <c r="E12" s="164"/>
      <c r="F12" s="165">
        <v>0.06859999999999999</v>
      </c>
      <c r="G12" s="165">
        <v>0.06900000000000001</v>
      </c>
      <c r="H12" s="165">
        <v>0.0751</v>
      </c>
      <c r="I12" s="165">
        <v>0.0659</v>
      </c>
      <c r="J12" s="165">
        <v>0.0905</v>
      </c>
      <c r="K12" s="165">
        <v>0.0764</v>
      </c>
      <c r="L12" s="165">
        <v>0.0805</v>
      </c>
      <c r="M12" s="165">
        <v>0.08260000000000001</v>
      </c>
      <c r="N12" s="165">
        <v>0.07530000000000001</v>
      </c>
      <c r="O12" s="165">
        <v>0.0767</v>
      </c>
      <c r="P12" s="165">
        <v>0.08690000000000001</v>
      </c>
      <c r="Q12" s="165">
        <v>0.1524</v>
      </c>
      <c r="R12" s="166">
        <f>SUM(F12:Q12)</f>
        <v>0.9999</v>
      </c>
      <c r="S12" s="166"/>
    </row>
    <row r="13" ht="14.7" customHeight="1">
      <c r="A13" s="153"/>
      <c r="B13" s="159"/>
      <c r="C13" s="144"/>
      <c r="D13" s="144"/>
      <c r="E13" s="144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t="s" s="146">
        <v>2</v>
      </c>
      <c r="S13" s="145"/>
    </row>
    <row r="14" ht="14.7" customHeight="1">
      <c r="A14" t="s" s="160">
        <v>206</v>
      </c>
      <c r="B14" s="159">
        <f>($D$14*B10)</f>
        <v>233415</v>
      </c>
      <c r="C14" s="144"/>
      <c r="D14" s="164">
        <f>'Assumptions'!C46</f>
        <v>0.57</v>
      </c>
      <c r="E14" t="s" s="167">
        <v>165</v>
      </c>
      <c r="F14" s="161">
        <f>(F10*$D$14)</f>
        <v>16012.269</v>
      </c>
      <c r="G14" s="161">
        <f>(G10*$D$14)</f>
        <v>16105.635</v>
      </c>
      <c r="H14" s="161">
        <f>(H10*$D$14)</f>
        <v>17529.4665</v>
      </c>
      <c r="I14" s="161">
        <f>(I10*$D$14)</f>
        <v>15382.0485</v>
      </c>
      <c r="J14" s="161">
        <f>(J10*$D$14)</f>
        <v>21124.0575</v>
      </c>
      <c r="K14" s="161">
        <f>(K10*$D$14)</f>
        <v>17832.906</v>
      </c>
      <c r="L14" s="161">
        <f>(L10*$D$14)</f>
        <v>18789.9075</v>
      </c>
      <c r="M14" s="161">
        <f>(M10*$D$14)</f>
        <v>19280.079</v>
      </c>
      <c r="N14" s="161">
        <f>(N10*$D$14)</f>
        <v>17576.1495</v>
      </c>
      <c r="O14" s="161">
        <f>(O10*$D$14)</f>
        <v>17902.9305</v>
      </c>
      <c r="P14" s="161">
        <f>(P10*$D$14)</f>
        <v>20283.7635</v>
      </c>
      <c r="Q14" s="161">
        <f>(Q10*$D$14)</f>
        <v>35572.446</v>
      </c>
      <c r="R14" s="161">
        <f>SUM(F14:Q14)</f>
        <v>233391.6585</v>
      </c>
      <c r="S14" s="165">
        <f>(R14/$R$10)</f>
        <v>0.57</v>
      </c>
    </row>
    <row r="15" ht="14.7" customHeight="1">
      <c r="A15" s="153"/>
      <c r="B15" s="159"/>
      <c r="C15" s="144"/>
      <c r="D15" t="s" s="168">
        <v>2</v>
      </c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t="s" s="146">
        <v>2</v>
      </c>
      <c r="S15" t="s" s="146">
        <v>2</v>
      </c>
    </row>
    <row r="16" ht="14.7" customHeight="1">
      <c r="A16" t="s" s="160">
        <v>207</v>
      </c>
      <c r="B16" s="159"/>
      <c r="C16" s="144"/>
      <c r="D16" s="144"/>
      <c r="E16" s="144"/>
      <c r="F16" t="s" s="146">
        <v>2</v>
      </c>
      <c r="G16" t="s" s="146">
        <v>2</v>
      </c>
      <c r="H16" t="s" s="146">
        <v>2</v>
      </c>
      <c r="I16" t="s" s="146">
        <v>2</v>
      </c>
      <c r="J16" t="s" s="146">
        <v>2</v>
      </c>
      <c r="K16" t="s" s="146">
        <v>2</v>
      </c>
      <c r="L16" t="s" s="146">
        <v>2</v>
      </c>
      <c r="M16" t="s" s="146">
        <v>2</v>
      </c>
      <c r="N16" t="s" s="146">
        <v>2</v>
      </c>
      <c r="O16" t="s" s="146">
        <v>2</v>
      </c>
      <c r="P16" t="s" s="146">
        <v>2</v>
      </c>
      <c r="Q16" t="s" s="146">
        <v>2</v>
      </c>
      <c r="R16" t="s" s="146">
        <v>2</v>
      </c>
      <c r="S16" t="s" s="146">
        <v>2</v>
      </c>
    </row>
    <row r="17" ht="14.7" customHeight="1">
      <c r="A17" t="s" s="160">
        <v>208</v>
      </c>
      <c r="B17" s="159">
        <f>(B10*D17)</f>
        <v>78624</v>
      </c>
      <c r="C17" s="144"/>
      <c r="D17" s="164">
        <f>'Industry Averages'!C23</f>
        <v>0.192</v>
      </c>
      <c r="E17" s="144"/>
      <c r="F17" s="161">
        <f>($B$17*F44)</f>
        <v>6677.654794520550</v>
      </c>
      <c r="G17" s="161">
        <f>($B$17*G44)</f>
        <v>6031.4301369863</v>
      </c>
      <c r="H17" s="161">
        <f>($B$17*H44)</f>
        <v>6677.654794520550</v>
      </c>
      <c r="I17" s="161">
        <f>($B$17*I44)</f>
        <v>6462.246575342470</v>
      </c>
      <c r="J17" s="161">
        <f>($B$17*J44)</f>
        <v>6677.654794520550</v>
      </c>
      <c r="K17" s="161">
        <f>($B$17*K44)</f>
        <v>6462.246575342470</v>
      </c>
      <c r="L17" s="161">
        <f>($B$17*L44)</f>
        <v>6677.654794520550</v>
      </c>
      <c r="M17" s="161">
        <f>($B$17*M44)</f>
        <v>6677.654794520550</v>
      </c>
      <c r="N17" s="161">
        <f>($B$17*N44)</f>
        <v>6462.246575342470</v>
      </c>
      <c r="O17" s="161">
        <f>($B$17*O44)</f>
        <v>6677.654794520550</v>
      </c>
      <c r="P17" s="161">
        <f>($B$17*P44)</f>
        <v>6462.246575342470</v>
      </c>
      <c r="Q17" s="161">
        <f>($B$17*Q44)</f>
        <v>6677.654794520550</v>
      </c>
      <c r="R17" s="161">
        <f>SUM(F17:Q17)</f>
        <v>78624</v>
      </c>
      <c r="S17" s="165">
        <f>(R17/$R$10)</f>
        <v>0.192019201920192</v>
      </c>
    </row>
    <row r="18" ht="14.7" customHeight="1">
      <c r="A18" t="s" s="160">
        <v>86</v>
      </c>
      <c r="B18" s="159">
        <f>'Assumptions'!B26</f>
        <v>35000</v>
      </c>
      <c r="C18" s="144"/>
      <c r="D18" s="164">
        <f>'Industry Averages'!C25</f>
        <v>0.074</v>
      </c>
      <c r="E18" t="s" s="167">
        <v>165</v>
      </c>
      <c r="F18" s="161">
        <f>($B$18/12)</f>
        <v>2916.666666666670</v>
      </c>
      <c r="G18" s="161">
        <f>($B$18/12)</f>
        <v>2916.666666666670</v>
      </c>
      <c r="H18" s="161">
        <f>($B$18/12)</f>
        <v>2916.666666666670</v>
      </c>
      <c r="I18" s="161">
        <f>($B$18/12)</f>
        <v>2916.666666666670</v>
      </c>
      <c r="J18" s="161">
        <f>($B$18/12)</f>
        <v>2916.666666666670</v>
      </c>
      <c r="K18" s="161">
        <f>($B$18/12)</f>
        <v>2916.666666666670</v>
      </c>
      <c r="L18" s="161">
        <f>($B$18/12)</f>
        <v>2916.666666666670</v>
      </c>
      <c r="M18" s="161">
        <f>($B$18/12)</f>
        <v>2916.666666666670</v>
      </c>
      <c r="N18" s="161">
        <f>($B$18/12)</f>
        <v>2916.666666666670</v>
      </c>
      <c r="O18" s="161">
        <f>($B$18/12)</f>
        <v>2916.666666666670</v>
      </c>
      <c r="P18" s="161">
        <f>($B$18/12)</f>
        <v>2916.666666666670</v>
      </c>
      <c r="Q18" s="161">
        <f>($B$18/12)</f>
        <v>2916.666666666670</v>
      </c>
      <c r="R18" s="161">
        <f>SUM(F18:Q18)</f>
        <v>35000</v>
      </c>
      <c r="S18" s="165">
        <f>(R18/$R$10)</f>
        <v>0.0854786333334188</v>
      </c>
    </row>
    <row r="19" ht="14.7" customHeight="1">
      <c r="A19" t="s" s="160">
        <v>209</v>
      </c>
      <c r="B19" s="159">
        <f>($B$10*D19)</f>
        <v>5323.5</v>
      </c>
      <c r="C19" s="144"/>
      <c r="D19" s="164">
        <f>'Industry Averages'!C26+'Industry Averages'!C27+'Industry Averages'!C28</f>
        <v>0.013</v>
      </c>
      <c r="E19" s="144"/>
      <c r="F19" s="161">
        <f>($B$19/12)</f>
        <v>443.625</v>
      </c>
      <c r="G19" s="161">
        <f>($B$19/12)</f>
        <v>443.625</v>
      </c>
      <c r="H19" s="161">
        <f>($B$19/12)</f>
        <v>443.625</v>
      </c>
      <c r="I19" s="161">
        <f>($B$19/12)</f>
        <v>443.625</v>
      </c>
      <c r="J19" s="161">
        <f>($B$19/12)</f>
        <v>443.625</v>
      </c>
      <c r="K19" s="161">
        <f>($B$19/12)</f>
        <v>443.625</v>
      </c>
      <c r="L19" s="161">
        <f>($B$19/12)</f>
        <v>443.625</v>
      </c>
      <c r="M19" s="161">
        <f>($B$19/12)</f>
        <v>443.625</v>
      </c>
      <c r="N19" s="161">
        <f>($B$19/12)</f>
        <v>443.625</v>
      </c>
      <c r="O19" s="161">
        <f>($B$19/12)</f>
        <v>443.625</v>
      </c>
      <c r="P19" s="161">
        <f>($B$19/12)</f>
        <v>443.625</v>
      </c>
      <c r="Q19" s="161">
        <f>($B$19/12)</f>
        <v>443.625</v>
      </c>
      <c r="R19" s="161">
        <f>SUM(F19:Q19)</f>
        <v>5323.5</v>
      </c>
      <c r="S19" s="165">
        <f>(R19/$R$10)</f>
        <v>0.013001300130013</v>
      </c>
    </row>
    <row r="20" ht="14.7" customHeight="1">
      <c r="A20" t="s" s="160">
        <v>210</v>
      </c>
      <c r="B20" s="159">
        <f>($B$10*$D20)</f>
        <v>10237.5</v>
      </c>
      <c r="C20" s="144"/>
      <c r="D20" s="164">
        <f>'Assumptions'!C51</f>
        <v>0.025</v>
      </c>
      <c r="E20" t="s" s="167">
        <v>165</v>
      </c>
      <c r="F20" s="161">
        <f>(F10*$D$20)</f>
        <v>702.2925</v>
      </c>
      <c r="G20" s="161">
        <f>(G10*$D$20)</f>
        <v>706.3875</v>
      </c>
      <c r="H20" s="161">
        <f>(H10*$D$20)</f>
        <v>768.8362499999999</v>
      </c>
      <c r="I20" s="161">
        <f>(I10*$D$20)</f>
        <v>674.65125</v>
      </c>
      <c r="J20" s="161">
        <f>(J10*$D$20)</f>
        <v>926.49375</v>
      </c>
      <c r="K20" s="161">
        <f>(K10*$D$20)</f>
        <v>782.145</v>
      </c>
      <c r="L20" s="161">
        <f>(L10*$D$20)</f>
        <v>824.11875</v>
      </c>
      <c r="M20" s="161">
        <f>(M10*$D$20)</f>
        <v>845.6174999999999</v>
      </c>
      <c r="N20" s="161">
        <f>(N10*$D$20)</f>
        <v>770.88375</v>
      </c>
      <c r="O20" s="161">
        <f>(O10*$D$20)</f>
        <v>785.2162499999999</v>
      </c>
      <c r="P20" s="161">
        <f>(P10*$D$20)</f>
        <v>889.63875</v>
      </c>
      <c r="Q20" s="161">
        <f>(Q10*$D$20)</f>
        <v>1560.195</v>
      </c>
      <c r="R20" s="161">
        <f>SUM(F20:Q20)</f>
        <v>10236.47625</v>
      </c>
      <c r="S20" s="165">
        <f>(R20/$R$10)</f>
        <v>0.025</v>
      </c>
    </row>
    <row r="21" ht="14.7" customHeight="1">
      <c r="A21" t="s" s="160">
        <v>95</v>
      </c>
      <c r="B21" s="159">
        <f>($B$10*$D21)</f>
        <v>2457</v>
      </c>
      <c r="C21" s="144"/>
      <c r="D21" s="164">
        <f>'Industry Averages'!C33</f>
        <v>0.006</v>
      </c>
      <c r="E21" s="144"/>
      <c r="F21" s="161">
        <f>($B$21/12)</f>
        <v>204.75</v>
      </c>
      <c r="G21" s="161">
        <f>($B$21/12)</f>
        <v>204.75</v>
      </c>
      <c r="H21" s="161">
        <f>($B$21/12)</f>
        <v>204.75</v>
      </c>
      <c r="I21" s="161">
        <f>($B$21/12)</f>
        <v>204.75</v>
      </c>
      <c r="J21" s="161">
        <f>($B$21/12)</f>
        <v>204.75</v>
      </c>
      <c r="K21" s="161">
        <f>($B$21/12)</f>
        <v>204.75</v>
      </c>
      <c r="L21" s="161">
        <f>($B$21/12)</f>
        <v>204.75</v>
      </c>
      <c r="M21" s="161">
        <f>($B$21/12)</f>
        <v>204.75</v>
      </c>
      <c r="N21" s="161">
        <f>($B$21/12)</f>
        <v>204.75</v>
      </c>
      <c r="O21" s="161">
        <f>($B$21/12)</f>
        <v>204.75</v>
      </c>
      <c r="P21" s="161">
        <f>($B$21/12)</f>
        <v>204.75</v>
      </c>
      <c r="Q21" s="161">
        <f>($B$21/12)</f>
        <v>204.75</v>
      </c>
      <c r="R21" s="161">
        <f>SUM(F21:Q21)</f>
        <v>2457</v>
      </c>
      <c r="S21" s="165">
        <f>(R21/$R$10)</f>
        <v>0.006000600060006</v>
      </c>
    </row>
    <row r="22" ht="14.7" customHeight="1">
      <c r="A22" t="s" s="160">
        <v>162</v>
      </c>
      <c r="B22" s="159">
        <f>($B$10*$D22)</f>
        <v>2457</v>
      </c>
      <c r="C22" s="144"/>
      <c r="D22" s="164">
        <f>'Industry Averages'!C34</f>
        <v>0.006</v>
      </c>
      <c r="E22" s="144"/>
      <c r="F22" s="161">
        <f>($B$22/12)</f>
        <v>204.75</v>
      </c>
      <c r="G22" s="161">
        <f>($B$22/12)</f>
        <v>204.75</v>
      </c>
      <c r="H22" s="161">
        <f>($B$22/12)</f>
        <v>204.75</v>
      </c>
      <c r="I22" s="161">
        <f>($B$22/12)</f>
        <v>204.75</v>
      </c>
      <c r="J22" s="161">
        <f>($B$22/12)</f>
        <v>204.75</v>
      </c>
      <c r="K22" s="161">
        <f>($B$22/12)</f>
        <v>204.75</v>
      </c>
      <c r="L22" s="161">
        <f>($B$22/12)</f>
        <v>204.75</v>
      </c>
      <c r="M22" s="161">
        <f>($B$22/12)</f>
        <v>204.75</v>
      </c>
      <c r="N22" s="161">
        <f>($B$22/12)</f>
        <v>204.75</v>
      </c>
      <c r="O22" s="161">
        <f>($B$22/12)</f>
        <v>204.75</v>
      </c>
      <c r="P22" s="161">
        <f>($B$22/12)</f>
        <v>204.75</v>
      </c>
      <c r="Q22" s="161">
        <f>($B$22/12)</f>
        <v>204.75</v>
      </c>
      <c r="R22" s="161">
        <f>SUM(F22:Q22)</f>
        <v>2457</v>
      </c>
      <c r="S22" s="165">
        <f>(R22/$R$10)</f>
        <v>0.006000600060006</v>
      </c>
    </row>
    <row r="23" ht="14.7" customHeight="1">
      <c r="A23" t="s" s="160">
        <v>211</v>
      </c>
      <c r="B23" s="159">
        <f>($B$10*$D23)</f>
        <v>4095</v>
      </c>
      <c r="C23" s="144"/>
      <c r="D23" s="164">
        <f>'Industry Averages'!C35</f>
        <v>0.01</v>
      </c>
      <c r="E23" s="144"/>
      <c r="F23" s="161">
        <f>($B$23/12)</f>
        <v>341.25</v>
      </c>
      <c r="G23" s="161">
        <f>($B$23/12)</f>
        <v>341.25</v>
      </c>
      <c r="H23" s="161">
        <f>($B$23/12)</f>
        <v>341.25</v>
      </c>
      <c r="I23" s="161">
        <f>($B$23/12)</f>
        <v>341.25</v>
      </c>
      <c r="J23" s="161">
        <f>($B$23/12)</f>
        <v>341.25</v>
      </c>
      <c r="K23" s="161">
        <f>($B$23/12)</f>
        <v>341.25</v>
      </c>
      <c r="L23" s="161">
        <f>($B$23/12)</f>
        <v>341.25</v>
      </c>
      <c r="M23" s="161">
        <f>($B$23/12)</f>
        <v>341.25</v>
      </c>
      <c r="N23" s="161">
        <f>($B$23/12)</f>
        <v>341.25</v>
      </c>
      <c r="O23" s="161">
        <f>($B$23/12)</f>
        <v>341.25</v>
      </c>
      <c r="P23" s="161">
        <f>($B$23/12)</f>
        <v>341.25</v>
      </c>
      <c r="Q23" s="161">
        <f>($B$23/12)</f>
        <v>341.25</v>
      </c>
      <c r="R23" s="161">
        <f>SUM(F23:Q23)</f>
        <v>4095</v>
      </c>
      <c r="S23" s="165">
        <f>(R23/$R$10)</f>
        <v>0.01000100010001</v>
      </c>
    </row>
    <row r="24" ht="14.7" customHeight="1">
      <c r="A24" t="s" s="160">
        <v>101</v>
      </c>
      <c r="B24" s="159">
        <f>($B$10*$D24)</f>
        <v>2047.5</v>
      </c>
      <c r="C24" s="144"/>
      <c r="D24" s="164">
        <f>'Industry Averages'!C36</f>
        <v>0.005</v>
      </c>
      <c r="E24" s="144"/>
      <c r="F24" s="145"/>
      <c r="G24" s="161"/>
      <c r="H24" s="145"/>
      <c r="I24" s="145"/>
      <c r="J24" s="145"/>
      <c r="K24" s="145"/>
      <c r="L24" s="145"/>
      <c r="M24" s="145"/>
      <c r="N24" s="145"/>
      <c r="O24" s="161"/>
      <c r="P24" s="145"/>
      <c r="Q24" s="161">
        <f>$B$24</f>
        <v>2047.5</v>
      </c>
      <c r="R24" s="161">
        <f>SUM(F24:Q24)</f>
        <v>2047.5</v>
      </c>
      <c r="S24" s="165">
        <f>(R24/$R$10)</f>
        <v>0.005000500050005</v>
      </c>
    </row>
    <row r="25" ht="14.7" customHeight="1">
      <c r="A25" t="s" s="160">
        <v>212</v>
      </c>
      <c r="B25" s="159">
        <f>($B$10*$D25)</f>
        <v>2866.5</v>
      </c>
      <c r="C25" s="144"/>
      <c r="D25" s="164">
        <f>'Industry Averages'!C37</f>
        <v>0.007</v>
      </c>
      <c r="E25" s="144"/>
      <c r="F25" t="s" s="146">
        <v>2</v>
      </c>
      <c r="G25" s="161">
        <f>($B$25/2)</f>
        <v>1433.25</v>
      </c>
      <c r="H25" t="s" s="146">
        <v>2</v>
      </c>
      <c r="I25" t="s" s="146">
        <v>2</v>
      </c>
      <c r="J25" t="s" s="146">
        <v>2</v>
      </c>
      <c r="K25" t="s" s="146">
        <v>2</v>
      </c>
      <c r="L25" t="s" s="146">
        <v>2</v>
      </c>
      <c r="M25" t="s" s="146">
        <v>2</v>
      </c>
      <c r="N25" t="s" s="146">
        <v>2</v>
      </c>
      <c r="O25" s="161">
        <f>($B$25/2)</f>
        <v>1433.25</v>
      </c>
      <c r="P25" t="s" s="146">
        <v>2</v>
      </c>
      <c r="Q25" t="s" s="146">
        <v>2</v>
      </c>
      <c r="R25" s="161">
        <f>SUM(F25:Q25)</f>
        <v>2866.5</v>
      </c>
      <c r="S25" s="165">
        <f>(R25/$R$10)</f>
        <v>0.007000700070007</v>
      </c>
    </row>
    <row r="26" ht="14.7" customHeight="1">
      <c r="A26" t="s" s="160">
        <v>213</v>
      </c>
      <c r="B26" s="159">
        <f>($B$10*$D26)</f>
        <v>2457</v>
      </c>
      <c r="C26" s="144"/>
      <c r="D26" s="164">
        <f>'Industry Averages'!C38</f>
        <v>0.006</v>
      </c>
      <c r="E26" s="144"/>
      <c r="F26" t="s" s="146">
        <v>2</v>
      </c>
      <c r="G26" t="s" s="146">
        <v>2</v>
      </c>
      <c r="H26" t="s" s="146">
        <v>2</v>
      </c>
      <c r="I26" t="s" s="146">
        <v>2</v>
      </c>
      <c r="J26" s="161">
        <f>B26</f>
        <v>2457</v>
      </c>
      <c r="K26" t="s" s="146">
        <v>2</v>
      </c>
      <c r="L26" t="s" s="146">
        <v>2</v>
      </c>
      <c r="M26" t="s" s="146">
        <v>2</v>
      </c>
      <c r="N26" t="s" s="146">
        <v>2</v>
      </c>
      <c r="O26" t="s" s="146">
        <v>2</v>
      </c>
      <c r="P26" t="s" s="146">
        <v>2</v>
      </c>
      <c r="Q26" t="s" s="146">
        <v>2</v>
      </c>
      <c r="R26" s="161">
        <f>SUM(F26:Q26)</f>
        <v>2457</v>
      </c>
      <c r="S26" s="165">
        <f>(R26/$R$10)</f>
        <v>0.006000600060006</v>
      </c>
    </row>
    <row r="27" ht="14.7" customHeight="1">
      <c r="A27" t="s" s="160">
        <v>214</v>
      </c>
      <c r="B27" s="159">
        <f>($B$10*$D27)</f>
        <v>8190</v>
      </c>
      <c r="C27" s="144"/>
      <c r="D27" s="164">
        <f>'Industry Averages'!C40</f>
        <v>0.02</v>
      </c>
      <c r="E27" s="144"/>
      <c r="F27" s="161">
        <f>(F10*$D$27)</f>
        <v>561.8339999999999</v>
      </c>
      <c r="G27" s="161">
        <f>(G10*$D$27)</f>
        <v>565.11</v>
      </c>
      <c r="H27" s="161">
        <f>(H10*$D$27)</f>
        <v>615.069</v>
      </c>
      <c r="I27" s="161">
        <f>(I10*$D$27)</f>
        <v>539.721</v>
      </c>
      <c r="J27" s="161">
        <f>(J10*$D$27)</f>
        <v>741.1950000000001</v>
      </c>
      <c r="K27" s="161">
        <f>(K10*$D$27)</f>
        <v>625.716</v>
      </c>
      <c r="L27" s="161">
        <f>(L10*$D$27)</f>
        <v>659.295</v>
      </c>
      <c r="M27" s="161">
        <f>(M10*$D$27)</f>
        <v>676.494</v>
      </c>
      <c r="N27" s="161">
        <f>(N10*$D$27)</f>
        <v>616.707</v>
      </c>
      <c r="O27" s="161">
        <f>(O10*$D$27)</f>
        <v>628.173</v>
      </c>
      <c r="P27" s="161">
        <f>(P10*$D$27)</f>
        <v>711.711</v>
      </c>
      <c r="Q27" s="161">
        <f>(Q10*$D$27)</f>
        <v>1248.156</v>
      </c>
      <c r="R27" s="161">
        <f>SUM(F27:Q27)</f>
        <v>8189.181</v>
      </c>
      <c r="S27" s="165">
        <f>(R27/$R$10)</f>
        <v>0.02</v>
      </c>
    </row>
    <row r="28" ht="14.7" customHeight="1">
      <c r="A28" t="s" s="160">
        <v>175</v>
      </c>
      <c r="B28" s="159">
        <f>($B$10*$D28)</f>
        <v>1638</v>
      </c>
      <c r="C28" s="144"/>
      <c r="D28" s="164">
        <f>'Industry Averages'!C41</f>
        <v>0.004</v>
      </c>
      <c r="E28" s="144"/>
      <c r="F28" s="161">
        <f>($B$28/2)</f>
        <v>819</v>
      </c>
      <c r="G28" t="s" s="146">
        <v>2</v>
      </c>
      <c r="H28" t="s" s="146">
        <v>2</v>
      </c>
      <c r="I28" t="s" s="146">
        <v>2</v>
      </c>
      <c r="J28" t="s" s="146">
        <v>2</v>
      </c>
      <c r="K28" t="s" s="146">
        <v>2</v>
      </c>
      <c r="L28" s="161">
        <f>($B$28/2)</f>
        <v>819</v>
      </c>
      <c r="M28" t="s" s="146">
        <v>2</v>
      </c>
      <c r="N28" t="s" s="146">
        <v>2</v>
      </c>
      <c r="O28" t="s" s="146">
        <v>2</v>
      </c>
      <c r="P28" t="s" s="146">
        <v>2</v>
      </c>
      <c r="Q28" t="s" s="146">
        <v>2</v>
      </c>
      <c r="R28" s="161">
        <f>SUM(F28:Q28)</f>
        <v>1638</v>
      </c>
      <c r="S28" s="165">
        <f>(R28/$R$10)</f>
        <v>0.004000400040004</v>
      </c>
    </row>
    <row r="29" ht="14.7" customHeight="1">
      <c r="A29" t="s" s="160">
        <v>111</v>
      </c>
      <c r="B29" s="159">
        <f>($B$10*$D29)</f>
        <v>2457</v>
      </c>
      <c r="C29" s="144"/>
      <c r="D29" s="164">
        <f>'Industry Averages'!C42</f>
        <v>0.006</v>
      </c>
      <c r="E29" s="144"/>
      <c r="F29" t="s" s="146">
        <v>2</v>
      </c>
      <c r="G29" t="s" s="146">
        <v>2</v>
      </c>
      <c r="H29" s="161">
        <f>($B$29/3)</f>
        <v>819</v>
      </c>
      <c r="I29" t="s" s="146">
        <v>2</v>
      </c>
      <c r="J29" t="s" s="146">
        <v>2</v>
      </c>
      <c r="K29" s="161">
        <f>($B$29/3)</f>
        <v>819</v>
      </c>
      <c r="L29" t="s" s="146">
        <v>2</v>
      </c>
      <c r="M29" t="s" s="146">
        <v>2</v>
      </c>
      <c r="N29" t="s" s="146">
        <v>2</v>
      </c>
      <c r="O29" t="s" s="146">
        <v>2</v>
      </c>
      <c r="P29" s="161">
        <f>($B$29/3)</f>
        <v>819</v>
      </c>
      <c r="Q29" t="s" s="146">
        <v>2</v>
      </c>
      <c r="R29" s="161">
        <f>SUM(F29:Q29)</f>
        <v>2457</v>
      </c>
      <c r="S29" s="165">
        <f>(R29/$R$10)</f>
        <v>0.006000600060006</v>
      </c>
    </row>
    <row r="30" ht="14.7" customHeight="1">
      <c r="A30" t="s" s="160">
        <v>215</v>
      </c>
      <c r="B30" s="159">
        <f>($B$10*$D30)</f>
        <v>1228.5</v>
      </c>
      <c r="C30" s="144"/>
      <c r="D30" s="164">
        <f>'Industry Averages'!C43</f>
        <v>0.003</v>
      </c>
      <c r="E30" s="144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>
        <f>B30</f>
        <v>1228.5</v>
      </c>
      <c r="R30" s="161">
        <f>SUM(F30:Q30)</f>
        <v>1228.5</v>
      </c>
      <c r="S30" s="165">
        <f>(R30/$R$10)</f>
        <v>0.003000300030003</v>
      </c>
    </row>
    <row r="31" ht="14.7" customHeight="1">
      <c r="A31" t="s" s="160">
        <v>216</v>
      </c>
      <c r="B31" s="159">
        <f>($B$10*$D31)</f>
        <v>1228.5</v>
      </c>
      <c r="C31" s="144"/>
      <c r="D31" s="164">
        <f>'Industry Averages'!C44</f>
        <v>0.003</v>
      </c>
      <c r="E31" s="144"/>
      <c r="F31" s="161">
        <f>($B$31/12)</f>
        <v>102.375</v>
      </c>
      <c r="G31" s="161">
        <f>($B$31/12)</f>
        <v>102.375</v>
      </c>
      <c r="H31" s="161">
        <f>($B$31/12)</f>
        <v>102.375</v>
      </c>
      <c r="I31" s="161">
        <f>($B$31/12)</f>
        <v>102.375</v>
      </c>
      <c r="J31" s="161">
        <f>($B$31/12)</f>
        <v>102.375</v>
      </c>
      <c r="K31" s="161">
        <f>($B$31/12)</f>
        <v>102.375</v>
      </c>
      <c r="L31" s="161">
        <f>($B$31/12)</f>
        <v>102.375</v>
      </c>
      <c r="M31" s="161">
        <f>($B$31/12)</f>
        <v>102.375</v>
      </c>
      <c r="N31" s="161">
        <f>($B$31/12)</f>
        <v>102.375</v>
      </c>
      <c r="O31" s="161">
        <f>($B$31/12)</f>
        <v>102.375</v>
      </c>
      <c r="P31" s="161">
        <f>($B$31/12)</f>
        <v>102.375</v>
      </c>
      <c r="Q31" s="161">
        <f>($B$31/12)</f>
        <v>102.375</v>
      </c>
      <c r="R31" s="161">
        <f>SUM(F31:Q31)</f>
        <v>1228.5</v>
      </c>
      <c r="S31" s="165">
        <f>(R31/$R$10)</f>
        <v>0.003000300030003</v>
      </c>
    </row>
    <row r="32" ht="14.7" customHeight="1">
      <c r="A32" t="s" s="160">
        <v>115</v>
      </c>
      <c r="B32" s="159">
        <f>($B$10*$D32)</f>
        <v>1228.5</v>
      </c>
      <c r="C32" s="144"/>
      <c r="D32" s="164">
        <f>'Industry Averages'!C45</f>
        <v>0.003</v>
      </c>
      <c r="E32" s="144"/>
      <c r="F32" s="161">
        <f>($B$32/12)</f>
        <v>102.375</v>
      </c>
      <c r="G32" s="161">
        <f>($B$32/12)</f>
        <v>102.375</v>
      </c>
      <c r="H32" s="161">
        <f>($B$32/12)</f>
        <v>102.375</v>
      </c>
      <c r="I32" s="161">
        <f>($B$32/12)</f>
        <v>102.375</v>
      </c>
      <c r="J32" s="161">
        <f>($B$32/12)</f>
        <v>102.375</v>
      </c>
      <c r="K32" s="161">
        <f>($B$32/12)</f>
        <v>102.375</v>
      </c>
      <c r="L32" s="161">
        <f>($B$32/12)</f>
        <v>102.375</v>
      </c>
      <c r="M32" s="161">
        <f>($B$32/12)</f>
        <v>102.375</v>
      </c>
      <c r="N32" s="161">
        <f>($B$32/12)</f>
        <v>102.375</v>
      </c>
      <c r="O32" s="161">
        <f>($B$32/12)</f>
        <v>102.375</v>
      </c>
      <c r="P32" s="161">
        <f>($B$32/12)</f>
        <v>102.375</v>
      </c>
      <c r="Q32" s="161">
        <f>($B$32/12)</f>
        <v>102.375</v>
      </c>
      <c r="R32" s="161">
        <f>SUM(F32:Q32)</f>
        <v>1228.5</v>
      </c>
      <c r="S32" s="165">
        <f>(R32/$R$10)</f>
        <v>0.003000300030003</v>
      </c>
    </row>
    <row r="33" ht="14.7" customHeight="1">
      <c r="A33" t="s" s="160">
        <v>217</v>
      </c>
      <c r="B33" s="159">
        <f>($B$10*$D33)</f>
        <v>2457</v>
      </c>
      <c r="C33" s="144"/>
      <c r="D33" s="164">
        <f>'Industry Averages'!C46</f>
        <v>0.006</v>
      </c>
      <c r="E33" s="144"/>
      <c r="F33" s="161">
        <f>($B$33/12)</f>
        <v>204.75</v>
      </c>
      <c r="G33" s="161">
        <f>($B$33/12)</f>
        <v>204.75</v>
      </c>
      <c r="H33" s="161">
        <f>($B$33/12)</f>
        <v>204.75</v>
      </c>
      <c r="I33" s="161">
        <f>($B$33/12)</f>
        <v>204.75</v>
      </c>
      <c r="J33" s="161">
        <f>($B$33/12)</f>
        <v>204.75</v>
      </c>
      <c r="K33" s="161">
        <f>($B$33/12)</f>
        <v>204.75</v>
      </c>
      <c r="L33" s="161">
        <f>($B$33/12)</f>
        <v>204.75</v>
      </c>
      <c r="M33" s="161">
        <f>($B$33/12)</f>
        <v>204.75</v>
      </c>
      <c r="N33" s="161">
        <f>($B$33/12)</f>
        <v>204.75</v>
      </c>
      <c r="O33" s="161">
        <f>($B$33/12)</f>
        <v>204.75</v>
      </c>
      <c r="P33" s="161">
        <f>($B$33/12)</f>
        <v>204.75</v>
      </c>
      <c r="Q33" s="161">
        <f>($B$33/12)</f>
        <v>204.75</v>
      </c>
      <c r="R33" s="161">
        <f>SUM(F33:Q33)</f>
        <v>2457</v>
      </c>
      <c r="S33" s="165">
        <f>(R33/$R$10)</f>
        <v>0.006000600060006</v>
      </c>
    </row>
    <row r="34" ht="9" customHeight="1">
      <c r="A34" t="s" s="169">
        <v>2</v>
      </c>
      <c r="B34" s="159"/>
      <c r="C34" s="144"/>
      <c r="D34" s="144"/>
      <c r="E34" s="144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t="s" s="146">
        <v>2</v>
      </c>
      <c r="R34" s="161"/>
      <c r="S34" t="s" s="146">
        <v>2</v>
      </c>
    </row>
    <row r="35" ht="14.7" customHeight="1">
      <c r="A35" t="s" s="160">
        <v>218</v>
      </c>
      <c r="B35" s="159">
        <f>SUM(B14:B33)</f>
        <v>397407.5</v>
      </c>
      <c r="C35" s="144"/>
      <c r="D35" s="144"/>
      <c r="E35" s="144"/>
      <c r="F35" s="161">
        <f>SUM(F14:F34)</f>
        <v>29293.5919611872</v>
      </c>
      <c r="G35" s="161">
        <f>SUM(G14:G34)</f>
        <v>29362.354303653</v>
      </c>
      <c r="H35" s="161">
        <f>SUM(H14:H34)</f>
        <v>30930.5682111872</v>
      </c>
      <c r="I35" s="161">
        <f>SUM(I14:I34)</f>
        <v>27579.2089920091</v>
      </c>
      <c r="J35" s="161">
        <f>SUM(J14:J34)</f>
        <v>36446.9427111872</v>
      </c>
      <c r="K35" s="161">
        <f>SUM(K14:K34)</f>
        <v>31042.5552420091</v>
      </c>
      <c r="L35" s="161">
        <f>SUM(L14:L34)</f>
        <v>32290.5177111872</v>
      </c>
      <c r="M35" s="161">
        <f>SUM(M14:M34)</f>
        <v>32000.3869611872</v>
      </c>
      <c r="N35" s="161">
        <f>SUM(N14:N34)</f>
        <v>29946.5284920091</v>
      </c>
      <c r="O35" s="161">
        <f>SUM(O14:O34)</f>
        <v>31947.7662111872</v>
      </c>
      <c r="P35" s="161">
        <f>SUM(P14:P34)</f>
        <v>33686.9014920091</v>
      </c>
      <c r="Q35" s="161">
        <f>SUM(Q14:Q34)</f>
        <v>52854.9934611872</v>
      </c>
      <c r="R35" s="161">
        <f>SUM(R14:R34)</f>
        <v>397382.31575</v>
      </c>
      <c r="S35" s="165">
        <f>(R35/$R$10)</f>
        <v>0.970505636033689</v>
      </c>
    </row>
    <row r="36" ht="14.7" customHeight="1">
      <c r="A36" s="153"/>
      <c r="B36" s="159"/>
      <c r="C36" s="144"/>
      <c r="D36" s="144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</row>
    <row r="37" ht="14.7" customHeight="1">
      <c r="A37" t="s" s="170">
        <v>120</v>
      </c>
      <c r="B37" s="162">
        <f>(B10-B35)</f>
        <v>12092.5</v>
      </c>
      <c r="C37" s="171"/>
      <c r="D37" s="171"/>
      <c r="E37" s="171"/>
      <c r="F37" s="172">
        <f>(F10-F35)</f>
        <v>-1201.8919611872</v>
      </c>
      <c r="G37" s="172">
        <f>(G10-G35)</f>
        <v>-1106.854303653</v>
      </c>
      <c r="H37" s="172">
        <f>(H10-H35)</f>
        <v>-177.1182111872</v>
      </c>
      <c r="I37" s="172">
        <f>(I10-I35)</f>
        <v>-593.1589920091</v>
      </c>
      <c r="J37" s="172">
        <f>(J10-J35)</f>
        <v>612.8072888128</v>
      </c>
      <c r="K37" s="172">
        <f>(K10-K35)</f>
        <v>243.2447579909</v>
      </c>
      <c r="L37" s="172">
        <f>(L10-L35)</f>
        <v>674.2322888128</v>
      </c>
      <c r="M37" s="172">
        <f>(M10-M35)</f>
        <v>1824.3130388128</v>
      </c>
      <c r="N37" s="172">
        <f>(N10-N35)</f>
        <v>888.8215079909</v>
      </c>
      <c r="O37" s="172">
        <f>(O10-O35)</f>
        <v>-539.1162111872</v>
      </c>
      <c r="P37" s="172">
        <f>(P10-P35)</f>
        <v>1898.6485079909</v>
      </c>
      <c r="Q37" s="172">
        <f>(Q10-Q35)</f>
        <v>9552.8065388128</v>
      </c>
      <c r="R37" s="172">
        <f>SUM(F37:Q37)</f>
        <v>12076.7342500002</v>
      </c>
      <c r="S37" s="173">
        <f>R37/R10</f>
        <v>0.0294943639663116</v>
      </c>
    </row>
    <row r="38" ht="14.7" customHeight="1">
      <c r="A38" t="s" s="160">
        <v>219</v>
      </c>
      <c r="B38" s="159"/>
      <c r="C38" s="144"/>
      <c r="D38" s="144"/>
      <c r="E38" s="144"/>
      <c r="F38" s="161">
        <f>'Funding'!B15</f>
        <v>0</v>
      </c>
      <c r="G38" s="161">
        <f>$F$38</f>
        <v>0</v>
      </c>
      <c r="H38" s="161">
        <f>$F$38</f>
        <v>0</v>
      </c>
      <c r="I38" s="161">
        <f>$F$38</f>
        <v>0</v>
      </c>
      <c r="J38" s="161">
        <f>$F$38</f>
        <v>0</v>
      </c>
      <c r="K38" s="161">
        <f>$F$38</f>
        <v>0</v>
      </c>
      <c r="L38" s="161">
        <f>$F$38</f>
        <v>0</v>
      </c>
      <c r="M38" s="161">
        <f>$F$38</f>
        <v>0</v>
      </c>
      <c r="N38" s="161">
        <f>$F$38</f>
        <v>0</v>
      </c>
      <c r="O38" s="161">
        <f>$F$38</f>
        <v>0</v>
      </c>
      <c r="P38" s="161">
        <f>$F$38</f>
        <v>0</v>
      </c>
      <c r="Q38" s="161">
        <f>$F$38</f>
        <v>0</v>
      </c>
      <c r="R38" s="172">
        <f>SUM(F38:Q38)</f>
        <v>0</v>
      </c>
      <c r="S38" s="145"/>
    </row>
    <row r="39" ht="14.7" customHeight="1">
      <c r="A39" t="s" s="148">
        <v>220</v>
      </c>
      <c r="B39" s="159"/>
      <c r="C39" s="144"/>
      <c r="D39" s="144"/>
      <c r="E39" s="144"/>
      <c r="F39" s="161">
        <f>(F37-F38)</f>
        <v>-1201.8919611872</v>
      </c>
      <c r="G39" s="161">
        <f>(G37-G38)</f>
        <v>-1106.854303653</v>
      </c>
      <c r="H39" s="161">
        <f>(H37-H38)</f>
        <v>-177.1182111872</v>
      </c>
      <c r="I39" s="161">
        <f>(I37-I38)</f>
        <v>-593.1589920091</v>
      </c>
      <c r="J39" s="161">
        <f>(J37-J38)</f>
        <v>612.8072888128</v>
      </c>
      <c r="K39" s="161">
        <f>(K37-K38)</f>
        <v>243.2447579909</v>
      </c>
      <c r="L39" s="161">
        <f>(L37-L38)</f>
        <v>674.2322888128</v>
      </c>
      <c r="M39" s="161">
        <f>(M37-M38)</f>
        <v>1824.3130388128</v>
      </c>
      <c r="N39" s="161">
        <f>(N37-N38)</f>
        <v>888.8215079909</v>
      </c>
      <c r="O39" s="161">
        <f>(O37-O38)</f>
        <v>-539.1162111872</v>
      </c>
      <c r="P39" s="161">
        <f>(P37-P38)</f>
        <v>1898.6485079909</v>
      </c>
      <c r="Q39" s="161">
        <f>(Q37-Q38)</f>
        <v>9552.8065388128</v>
      </c>
      <c r="R39" s="172">
        <f>SUM(F39:Q39)</f>
        <v>12076.7342500002</v>
      </c>
      <c r="S39" s="174">
        <f>(R39/R10)</f>
        <v>0.0294943639663116</v>
      </c>
    </row>
    <row r="40" ht="14.7" customHeight="1">
      <c r="A40" s="153"/>
      <c r="B40" s="159"/>
      <c r="C40" s="144"/>
      <c r="D40" s="144"/>
      <c r="E40" s="144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</row>
    <row r="41" ht="14.7" customHeight="1">
      <c r="A41" t="s" s="160">
        <v>221</v>
      </c>
      <c r="B41" s="159"/>
      <c r="C41" s="144"/>
      <c r="D41" t="s" s="167">
        <v>2</v>
      </c>
      <c r="E41" s="144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</row>
    <row r="42" ht="14.7" customHeight="1">
      <c r="A42" s="160"/>
      <c r="B42" s="159"/>
      <c r="C42" s="144"/>
      <c r="D42" s="167"/>
      <c r="E42" s="144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</row>
    <row r="43" ht="14.7" customHeight="1">
      <c r="A43" t="s" s="148">
        <v>222</v>
      </c>
      <c r="B43" s="159"/>
      <c r="C43" s="144"/>
      <c r="D43" s="167"/>
      <c r="E43" s="144"/>
      <c r="F43" s="175">
        <v>31</v>
      </c>
      <c r="G43" s="175">
        <v>28</v>
      </c>
      <c r="H43" s="175">
        <v>31</v>
      </c>
      <c r="I43" s="175">
        <v>30</v>
      </c>
      <c r="J43" s="175">
        <v>31</v>
      </c>
      <c r="K43" s="175">
        <v>30</v>
      </c>
      <c r="L43" s="175">
        <v>31</v>
      </c>
      <c r="M43" s="175">
        <v>31</v>
      </c>
      <c r="N43" s="175">
        <v>30</v>
      </c>
      <c r="O43" s="175">
        <v>31</v>
      </c>
      <c r="P43" s="175">
        <v>30</v>
      </c>
      <c r="Q43" s="175">
        <v>31</v>
      </c>
      <c r="R43" s="175">
        <f>SUM(A43:Q43)</f>
        <v>365</v>
      </c>
      <c r="S43" s="145"/>
    </row>
    <row r="44" ht="14.7" customHeight="1">
      <c r="A44" t="s" s="148">
        <v>223</v>
      </c>
      <c r="B44" s="159"/>
      <c r="C44" s="144"/>
      <c r="D44" s="167"/>
      <c r="E44" s="144"/>
      <c r="F44" s="176">
        <f>(F43/$R$43)</f>
        <v>0.08493150684931509</v>
      </c>
      <c r="G44" s="176">
        <f>(G43/$R$43)</f>
        <v>0.07671232876712331</v>
      </c>
      <c r="H44" s="176">
        <f>(H43/$R$43)</f>
        <v>0.08493150684931509</v>
      </c>
      <c r="I44" s="176">
        <f>(I43/$R$43)</f>
        <v>0.0821917808219178</v>
      </c>
      <c r="J44" s="176">
        <f>(J43/$R$43)</f>
        <v>0.08493150684931509</v>
      </c>
      <c r="K44" s="176">
        <f>(K43/$R$43)</f>
        <v>0.0821917808219178</v>
      </c>
      <c r="L44" s="176">
        <f>(L43/$R$43)</f>
        <v>0.08493150684931509</v>
      </c>
      <c r="M44" s="176">
        <f>(M43/$R$43)</f>
        <v>0.08493150684931509</v>
      </c>
      <c r="N44" s="176">
        <f>(N43/$R$43)</f>
        <v>0.0821917808219178</v>
      </c>
      <c r="O44" s="176">
        <f>(O43/$R$43)</f>
        <v>0.08493150684931509</v>
      </c>
      <c r="P44" s="176">
        <f>(P43/$R$43)</f>
        <v>0.0821917808219178</v>
      </c>
      <c r="Q44" s="176">
        <f>(Q43/$R$43)</f>
        <v>0.08493150684931509</v>
      </c>
      <c r="R44" s="177">
        <f>(R43/$R$43)</f>
        <v>1</v>
      </c>
      <c r="S44" s="145"/>
    </row>
  </sheetData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42"/>
  <sheetViews>
    <sheetView workbookViewId="0" showGridLines="0" defaultGridColor="1"/>
  </sheetViews>
  <sheetFormatPr defaultColWidth="8.83333" defaultRowHeight="13.9" customHeight="1" outlineLevelRow="0" outlineLevelCol="0"/>
  <cols>
    <col min="1" max="1" width="23" style="179" customWidth="1"/>
    <col min="2" max="2" width="10.5" style="179" customWidth="1"/>
    <col min="3" max="3" width="3.67188" style="179" customWidth="1"/>
    <col min="4" max="4" width="7.85156" style="179" customWidth="1"/>
    <col min="5" max="5" width="3" style="179" customWidth="1"/>
    <col min="6" max="7" width="9.67188" style="179" customWidth="1"/>
    <col min="8" max="8" width="8.85156" style="179" customWidth="1"/>
    <col min="9" max="9" width="9.35156" style="179" customWidth="1"/>
    <col min="10" max="10" width="9.17188" style="179" customWidth="1"/>
    <col min="11" max="11" width="9" style="179" customWidth="1"/>
    <col min="12" max="18" width="8.85156" style="179" customWidth="1"/>
    <col min="19" max="19" width="7.85156" style="179" customWidth="1"/>
    <col min="20" max="16384" width="8.85156" style="179" customWidth="1"/>
  </cols>
  <sheetData>
    <row r="1" ht="32.65" customHeight="1">
      <c r="A1" t="s" s="139">
        <v>183</v>
      </c>
      <c r="B1" s="140"/>
      <c r="C1" s="140"/>
      <c r="D1" s="140"/>
      <c r="E1" s="140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ht="17.65" customHeight="1">
      <c r="A2" t="s" s="142">
        <v>225</v>
      </c>
      <c r="B2" t="s" s="143">
        <v>2</v>
      </c>
      <c r="C2" s="144"/>
      <c r="D2" s="144"/>
      <c r="E2" s="144"/>
      <c r="F2" s="145"/>
      <c r="G2" s="145"/>
      <c r="H2" t="s" s="146">
        <v>2</v>
      </c>
      <c r="I2" t="s" s="147">
        <v>2</v>
      </c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ht="14.7" customHeight="1">
      <c r="A3" t="s" s="148">
        <v>2</v>
      </c>
      <c r="B3" s="144"/>
      <c r="C3" s="144"/>
      <c r="D3" s="144"/>
      <c r="E3" s="144"/>
      <c r="F3" s="145"/>
      <c r="G3" s="145"/>
      <c r="H3" s="145"/>
      <c r="I3" t="s" s="147">
        <v>2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ht="14.7" customHeight="1">
      <c r="A4" t="s" s="149">
        <v>185</v>
      </c>
      <c r="B4" s="150">
        <f>'Assumptions'!B17</f>
        <v>1400</v>
      </c>
      <c r="C4" s="144"/>
      <c r="D4" s="144"/>
      <c r="E4" s="144"/>
      <c r="F4" s="145"/>
      <c r="G4" s="145"/>
      <c r="H4" s="144"/>
      <c r="I4" s="144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ht="14.7" customHeight="1">
      <c r="A5" t="s" s="149">
        <v>186</v>
      </c>
      <c r="B5" s="151">
        <f>'Assumptions'!B20</f>
        <v>1260</v>
      </c>
      <c r="C5" s="144"/>
      <c r="D5" s="152">
        <v>1</v>
      </c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ht="14.7" customHeight="1">
      <c r="A6" s="153"/>
      <c r="B6" s="144"/>
      <c r="C6" s="144"/>
      <c r="D6" s="144"/>
      <c r="E6" s="144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/>
    </row>
    <row r="7" ht="14.7" customHeight="1">
      <c r="A7" t="s" s="154">
        <v>2</v>
      </c>
      <c r="B7" t="s" s="155">
        <v>2</v>
      </c>
      <c r="C7" s="144"/>
      <c r="D7" t="s" s="143">
        <v>187</v>
      </c>
      <c r="E7" s="144"/>
      <c r="F7" t="s" s="155">
        <v>188</v>
      </c>
      <c r="G7" t="s" s="155">
        <v>189</v>
      </c>
      <c r="H7" t="s" s="155">
        <v>190</v>
      </c>
      <c r="I7" t="s" s="155">
        <v>191</v>
      </c>
      <c r="J7" t="s" s="155">
        <v>192</v>
      </c>
      <c r="K7" t="s" s="155">
        <v>193</v>
      </c>
      <c r="L7" t="s" s="155">
        <v>194</v>
      </c>
      <c r="M7" t="s" s="155">
        <v>195</v>
      </c>
      <c r="N7" t="s" s="155">
        <v>196</v>
      </c>
      <c r="O7" t="s" s="155">
        <v>197</v>
      </c>
      <c r="P7" t="s" s="155">
        <v>198</v>
      </c>
      <c r="Q7" t="s" s="155">
        <v>199</v>
      </c>
      <c r="R7" t="s" s="155">
        <v>180</v>
      </c>
      <c r="S7" t="s" s="155">
        <v>200</v>
      </c>
    </row>
    <row r="8" ht="14.7" customHeight="1">
      <c r="A8" s="153"/>
      <c r="B8" s="156"/>
      <c r="C8" s="144"/>
      <c r="D8" t="s" s="157">
        <v>201</v>
      </c>
      <c r="E8" s="158"/>
      <c r="F8" t="s" s="155">
        <v>2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t="s" s="155">
        <v>2</v>
      </c>
      <c r="S8" t="s" s="157">
        <v>202</v>
      </c>
    </row>
    <row r="9" ht="14.7" customHeight="1">
      <c r="A9" s="153"/>
      <c r="B9" s="159"/>
      <c r="C9" s="144"/>
      <c r="D9" s="144"/>
      <c r="E9" s="144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ht="14.7" customHeight="1">
      <c r="A10" t="s" s="160">
        <v>203</v>
      </c>
      <c r="B10" s="159">
        <f>(B5*B11)</f>
        <v>472500</v>
      </c>
      <c r="C10" s="144"/>
      <c r="D10" s="144"/>
      <c r="E10" s="144"/>
      <c r="F10" s="161">
        <f>($B$10*F12)</f>
        <v>32413.5</v>
      </c>
      <c r="G10" s="161">
        <f>($B$10*G12)</f>
        <v>32602.5</v>
      </c>
      <c r="H10" s="161">
        <f>($B$10*H12)</f>
        <v>35484.75</v>
      </c>
      <c r="I10" s="161">
        <f>($B$10*I12)</f>
        <v>31137.75</v>
      </c>
      <c r="J10" s="161">
        <f>($B$10*J12)</f>
        <v>42761.25</v>
      </c>
      <c r="K10" s="161">
        <f>($B$10*K12)</f>
        <v>36099</v>
      </c>
      <c r="L10" s="161">
        <f>($B$10*L12)</f>
        <v>38036.25</v>
      </c>
      <c r="M10" s="161">
        <f>($B$10*M12)</f>
        <v>39028.5</v>
      </c>
      <c r="N10" s="161">
        <f>($B$10*N12)</f>
        <v>35579.25</v>
      </c>
      <c r="O10" s="161">
        <f>($B$10*O12)</f>
        <v>36240.75</v>
      </c>
      <c r="P10" s="161">
        <f>($B$10*P12)</f>
        <v>41060.25</v>
      </c>
      <c r="Q10" s="161">
        <f>($B$10*Q12)</f>
        <v>72009</v>
      </c>
      <c r="R10" s="161">
        <f>SUM(F10:Q10)</f>
        <v>472452.75</v>
      </c>
      <c r="S10" s="161"/>
    </row>
    <row r="11" ht="14.7" customHeight="1">
      <c r="A11" t="s" s="149">
        <v>204</v>
      </c>
      <c r="B11" s="162">
        <f>'Assumptions'!C41</f>
        <v>375</v>
      </c>
      <c r="C11" s="144"/>
      <c r="D11" s="144"/>
      <c r="E11" s="144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t="s" s="146">
        <v>2</v>
      </c>
      <c r="S11" s="145"/>
    </row>
    <row r="12" ht="14.7" customHeight="1">
      <c r="A12" t="s" s="148">
        <v>205</v>
      </c>
      <c r="B12" s="159"/>
      <c r="C12" s="144"/>
      <c r="D12" s="163">
        <f>SUM(E12:Q12)</f>
        <v>0.9999</v>
      </c>
      <c r="E12" s="164"/>
      <c r="F12" s="165">
        <v>0.06859999999999999</v>
      </c>
      <c r="G12" s="165">
        <v>0.06900000000000001</v>
      </c>
      <c r="H12" s="165">
        <v>0.0751</v>
      </c>
      <c r="I12" s="165">
        <v>0.0659</v>
      </c>
      <c r="J12" s="165">
        <v>0.0905</v>
      </c>
      <c r="K12" s="165">
        <v>0.0764</v>
      </c>
      <c r="L12" s="165">
        <v>0.0805</v>
      </c>
      <c r="M12" s="165">
        <v>0.08260000000000001</v>
      </c>
      <c r="N12" s="165">
        <v>0.07530000000000001</v>
      </c>
      <c r="O12" s="165">
        <v>0.0767</v>
      </c>
      <c r="P12" s="165">
        <v>0.08690000000000001</v>
      </c>
      <c r="Q12" s="165">
        <v>0.1524</v>
      </c>
      <c r="R12" s="166">
        <f>SUM(F12:Q12)</f>
        <v>0.9999</v>
      </c>
      <c r="S12" s="166"/>
    </row>
    <row r="13" ht="14.7" customHeight="1">
      <c r="A13" s="153"/>
      <c r="B13" s="159"/>
      <c r="C13" s="144"/>
      <c r="D13" s="144"/>
      <c r="E13" s="144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t="s" s="146">
        <v>2</v>
      </c>
      <c r="S13" s="145"/>
    </row>
    <row r="14" ht="14.7" customHeight="1">
      <c r="A14" t="s" s="160">
        <v>206</v>
      </c>
      <c r="B14" s="159">
        <f>($D$14*B10)</f>
        <v>266017.5</v>
      </c>
      <c r="C14" s="144"/>
      <c r="D14" s="164">
        <f>'Assumptions'!C45</f>
        <v>0.5629999999999999</v>
      </c>
      <c r="E14" t="s" s="167">
        <v>2</v>
      </c>
      <c r="F14" s="161">
        <f>(F10*$D$14)</f>
        <v>18248.8005</v>
      </c>
      <c r="G14" s="161">
        <f>(G10*$D$14)</f>
        <v>18355.2075</v>
      </c>
      <c r="H14" s="161">
        <f>(H10*$D$14)</f>
        <v>19977.91425</v>
      </c>
      <c r="I14" s="161">
        <f>(I10*$D$14)</f>
        <v>17530.55325</v>
      </c>
      <c r="J14" s="161">
        <f>(J10*$D$14)</f>
        <v>24074.58375</v>
      </c>
      <c r="K14" s="161">
        <f>(K10*$D$14)</f>
        <v>20323.737</v>
      </c>
      <c r="L14" s="161">
        <f>(L10*$D$14)</f>
        <v>21414.40875</v>
      </c>
      <c r="M14" s="161">
        <f>(M10*$D$14)</f>
        <v>21973.0455</v>
      </c>
      <c r="N14" s="161">
        <f>(N10*$D$14)</f>
        <v>20031.11775</v>
      </c>
      <c r="O14" s="161">
        <f>(O10*$D$14)</f>
        <v>20403.54225</v>
      </c>
      <c r="P14" s="161">
        <f>(P10*$D$14)</f>
        <v>23116.92075</v>
      </c>
      <c r="Q14" s="161">
        <f>(Q10*$D$14)</f>
        <v>40541.067</v>
      </c>
      <c r="R14" s="161">
        <f>SUM(F14:Q14)</f>
        <v>265990.89825</v>
      </c>
      <c r="S14" s="165">
        <f>(R14/$R$10)</f>
        <v>0.5629999999999999</v>
      </c>
    </row>
    <row r="15" ht="14.7" customHeight="1">
      <c r="A15" s="153"/>
      <c r="B15" s="159"/>
      <c r="C15" s="144"/>
      <c r="D15" t="s" s="168">
        <v>2</v>
      </c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t="s" s="146">
        <v>2</v>
      </c>
      <c r="S15" t="s" s="146">
        <v>2</v>
      </c>
    </row>
    <row r="16" ht="14.7" customHeight="1">
      <c r="A16" t="s" s="160">
        <v>207</v>
      </c>
      <c r="B16" s="159"/>
      <c r="C16" s="144"/>
      <c r="D16" s="144"/>
      <c r="E16" s="144"/>
      <c r="F16" t="s" s="146">
        <v>2</v>
      </c>
      <c r="G16" t="s" s="146">
        <v>2</v>
      </c>
      <c r="H16" t="s" s="146">
        <v>2</v>
      </c>
      <c r="I16" t="s" s="146">
        <v>2</v>
      </c>
      <c r="J16" t="s" s="146">
        <v>2</v>
      </c>
      <c r="K16" t="s" s="146">
        <v>2</v>
      </c>
      <c r="L16" t="s" s="146">
        <v>2</v>
      </c>
      <c r="M16" t="s" s="146">
        <v>2</v>
      </c>
      <c r="N16" t="s" s="146">
        <v>2</v>
      </c>
      <c r="O16" t="s" s="146">
        <v>2</v>
      </c>
      <c r="P16" t="s" s="146">
        <v>2</v>
      </c>
      <c r="Q16" t="s" s="146">
        <v>2</v>
      </c>
      <c r="R16" t="s" s="146">
        <v>2</v>
      </c>
      <c r="S16" t="s" s="146">
        <v>2</v>
      </c>
    </row>
    <row r="17" ht="14.7" customHeight="1">
      <c r="A17" t="s" s="160">
        <v>208</v>
      </c>
      <c r="B17" s="159">
        <f>(B10*D17)</f>
        <v>90720</v>
      </c>
      <c r="C17" s="144"/>
      <c r="D17" s="164">
        <f>'Industry Averages'!C23</f>
        <v>0.192</v>
      </c>
      <c r="E17" s="144"/>
      <c r="F17" s="161">
        <f>($B$17*F42)</f>
        <v>7704.986301369870</v>
      </c>
      <c r="G17" s="161">
        <f>($B$17*G42)</f>
        <v>6959.342465753430</v>
      </c>
      <c r="H17" s="161">
        <f>($B$17*H42)</f>
        <v>7704.986301369870</v>
      </c>
      <c r="I17" s="161">
        <f>($B$17*I42)</f>
        <v>7456.438356164380</v>
      </c>
      <c r="J17" s="161">
        <f>($B$17*J42)</f>
        <v>7704.986301369870</v>
      </c>
      <c r="K17" s="161">
        <f>($B$17*K42)</f>
        <v>7456.438356164380</v>
      </c>
      <c r="L17" s="161">
        <f>($B$17*L42)</f>
        <v>7704.986301369870</v>
      </c>
      <c r="M17" s="161">
        <f>($B$17*M42)</f>
        <v>7704.986301369870</v>
      </c>
      <c r="N17" s="161">
        <f>($B$17*N42)</f>
        <v>7456.438356164380</v>
      </c>
      <c r="O17" s="161">
        <f>($B$17*O42)</f>
        <v>7704.986301369870</v>
      </c>
      <c r="P17" s="161">
        <f>($B$17*P42)</f>
        <v>7456.438356164380</v>
      </c>
      <c r="Q17" s="161">
        <f>($B$17*Q42)</f>
        <v>7704.986301369870</v>
      </c>
      <c r="R17" s="161">
        <f>SUM(F17:Q17)</f>
        <v>90720</v>
      </c>
      <c r="S17" s="165">
        <f>(R17/$R$10)</f>
        <v>0.192019201920192</v>
      </c>
    </row>
    <row r="18" ht="14.7" customHeight="1">
      <c r="A18" t="s" s="160">
        <v>86</v>
      </c>
      <c r="B18" s="159">
        <f>'Assumptions'!B26</f>
        <v>35000</v>
      </c>
      <c r="C18" s="144"/>
      <c r="D18" s="164">
        <f>'Industry Averages'!C25</f>
        <v>0.074</v>
      </c>
      <c r="E18" t="s" s="167">
        <v>2</v>
      </c>
      <c r="F18" s="161">
        <f>($B$18/12)</f>
        <v>2916.666666666670</v>
      </c>
      <c r="G18" s="161">
        <f>($B$18/12)</f>
        <v>2916.666666666670</v>
      </c>
      <c r="H18" s="161">
        <f>($B$18/12)</f>
        <v>2916.666666666670</v>
      </c>
      <c r="I18" s="161">
        <f>($B$18/12)</f>
        <v>2916.666666666670</v>
      </c>
      <c r="J18" s="161">
        <f>($B$18/12)</f>
        <v>2916.666666666670</v>
      </c>
      <c r="K18" s="161">
        <f>($B$18/12)</f>
        <v>2916.666666666670</v>
      </c>
      <c r="L18" s="161">
        <f>($B$18/12)</f>
        <v>2916.666666666670</v>
      </c>
      <c r="M18" s="161">
        <f>($B$18/12)</f>
        <v>2916.666666666670</v>
      </c>
      <c r="N18" s="161">
        <f>($B$18/12)</f>
        <v>2916.666666666670</v>
      </c>
      <c r="O18" s="161">
        <f>($B$18/12)</f>
        <v>2916.666666666670</v>
      </c>
      <c r="P18" s="161">
        <f>($B$18/12)</f>
        <v>2916.666666666670</v>
      </c>
      <c r="Q18" s="161">
        <f>($B$18/12)</f>
        <v>2916.666666666670</v>
      </c>
      <c r="R18" s="161">
        <f>SUM(F18:Q18)</f>
        <v>35000</v>
      </c>
      <c r="S18" s="165">
        <f>(R18/$R$10)</f>
        <v>0.0740814822222963</v>
      </c>
    </row>
    <row r="19" ht="14.7" customHeight="1">
      <c r="A19" t="s" s="160">
        <v>209</v>
      </c>
      <c r="B19" s="159">
        <f>($B$10*D19)</f>
        <v>6142.5</v>
      </c>
      <c r="C19" s="144"/>
      <c r="D19" s="164">
        <f>'Industry Averages'!C26+'Industry Averages'!C27+'Industry Averages'!C28</f>
        <v>0.013</v>
      </c>
      <c r="E19" s="144"/>
      <c r="F19" s="161">
        <f>($B$19/12)</f>
        <v>511.875</v>
      </c>
      <c r="G19" s="161">
        <f>($B$19/12)</f>
        <v>511.875</v>
      </c>
      <c r="H19" s="161">
        <f>($B$19/12)</f>
        <v>511.875</v>
      </c>
      <c r="I19" s="161">
        <f>($B$19/12)</f>
        <v>511.875</v>
      </c>
      <c r="J19" s="161">
        <f>($B$19/12)</f>
        <v>511.875</v>
      </c>
      <c r="K19" s="161">
        <f>($B$19/12)</f>
        <v>511.875</v>
      </c>
      <c r="L19" s="161">
        <f>($B$19/12)</f>
        <v>511.875</v>
      </c>
      <c r="M19" s="161">
        <f>($B$19/12)</f>
        <v>511.875</v>
      </c>
      <c r="N19" s="161">
        <f>($B$19/12)</f>
        <v>511.875</v>
      </c>
      <c r="O19" s="161">
        <f>($B$19/12)</f>
        <v>511.875</v>
      </c>
      <c r="P19" s="161">
        <f>($B$19/12)</f>
        <v>511.875</v>
      </c>
      <c r="Q19" s="161">
        <f>($B$19/12)</f>
        <v>511.875</v>
      </c>
      <c r="R19" s="161">
        <f>SUM(F19:Q19)</f>
        <v>6142.5</v>
      </c>
      <c r="S19" s="165">
        <f>(R19/$R$10)</f>
        <v>0.013001300130013</v>
      </c>
    </row>
    <row r="20" ht="14.7" customHeight="1">
      <c r="A20" t="s" s="160">
        <v>210</v>
      </c>
      <c r="B20" s="159">
        <f>($B$10*$D20)</f>
        <v>9450</v>
      </c>
      <c r="C20" s="144"/>
      <c r="D20" s="164">
        <f>'Assumptions'!C50</f>
        <v>0.02</v>
      </c>
      <c r="E20" t="s" s="167">
        <v>2</v>
      </c>
      <c r="F20" s="161">
        <f>(F10*$D$20)</f>
        <v>648.27</v>
      </c>
      <c r="G20" s="161">
        <f>(G10*$D$20)</f>
        <v>652.05</v>
      </c>
      <c r="H20" s="161">
        <f>(H10*$D$20)</f>
        <v>709.6950000000001</v>
      </c>
      <c r="I20" s="161">
        <f>(I10*$D$20)</f>
        <v>622.755</v>
      </c>
      <c r="J20" s="161">
        <f>(J10*$D$20)</f>
        <v>855.225</v>
      </c>
      <c r="K20" s="161">
        <f>(K10*$D$20)</f>
        <v>721.98</v>
      </c>
      <c r="L20" s="161">
        <f>(L10*$D$20)</f>
        <v>760.725</v>
      </c>
      <c r="M20" s="161">
        <f>(M10*$D$20)</f>
        <v>780.5700000000001</v>
      </c>
      <c r="N20" s="161">
        <f>(N10*$D$20)</f>
        <v>711.585</v>
      </c>
      <c r="O20" s="161">
        <f>(O10*$D$20)</f>
        <v>724.8150000000001</v>
      </c>
      <c r="P20" s="161">
        <f>(P10*$D$20)</f>
        <v>821.205</v>
      </c>
      <c r="Q20" s="161">
        <f>(Q10*$D$20)</f>
        <v>1440.18</v>
      </c>
      <c r="R20" s="161">
        <f>SUM(F20:Q20)</f>
        <v>9449.055</v>
      </c>
      <c r="S20" s="165">
        <f>(R20/$R$10)</f>
        <v>0.02</v>
      </c>
    </row>
    <row r="21" ht="14.7" customHeight="1">
      <c r="A21" t="s" s="160">
        <v>95</v>
      </c>
      <c r="B21" s="159">
        <f>($B$10*$D21)</f>
        <v>2835</v>
      </c>
      <c r="C21" s="144"/>
      <c r="D21" s="164">
        <f>'Industry Averages'!C33</f>
        <v>0.006</v>
      </c>
      <c r="E21" s="144"/>
      <c r="F21" s="161">
        <f>($B$21/12)</f>
        <v>236.25</v>
      </c>
      <c r="G21" s="161">
        <f>($B$21/12)</f>
        <v>236.25</v>
      </c>
      <c r="H21" s="161">
        <f>($B$21/12)</f>
        <v>236.25</v>
      </c>
      <c r="I21" s="161">
        <f>($B$21/12)</f>
        <v>236.25</v>
      </c>
      <c r="J21" s="161">
        <f>($B$21/12)</f>
        <v>236.25</v>
      </c>
      <c r="K21" s="161">
        <f>($B$21/12)</f>
        <v>236.25</v>
      </c>
      <c r="L21" s="161">
        <f>($B$21/12)</f>
        <v>236.25</v>
      </c>
      <c r="M21" s="161">
        <f>($B$21/12)</f>
        <v>236.25</v>
      </c>
      <c r="N21" s="161">
        <f>($B$21/12)</f>
        <v>236.25</v>
      </c>
      <c r="O21" s="161">
        <f>($B$21/12)</f>
        <v>236.25</v>
      </c>
      <c r="P21" s="161">
        <f>($B$21/12)</f>
        <v>236.25</v>
      </c>
      <c r="Q21" s="161">
        <f>($B$21/12)</f>
        <v>236.25</v>
      </c>
      <c r="R21" s="161">
        <f>SUM(F21:Q21)</f>
        <v>2835</v>
      </c>
      <c r="S21" s="165">
        <f>(R21/$R$10)</f>
        <v>0.006000600060006</v>
      </c>
    </row>
    <row r="22" ht="14.7" customHeight="1">
      <c r="A22" t="s" s="160">
        <v>162</v>
      </c>
      <c r="B22" s="159">
        <f>($B$10*$D22)</f>
        <v>2835</v>
      </c>
      <c r="C22" s="144"/>
      <c r="D22" s="164">
        <f>'Industry Averages'!C34</f>
        <v>0.006</v>
      </c>
      <c r="E22" s="144"/>
      <c r="F22" s="161">
        <f>($B$22/12)</f>
        <v>236.25</v>
      </c>
      <c r="G22" s="161">
        <f>($B$22/12)</f>
        <v>236.25</v>
      </c>
      <c r="H22" s="161">
        <f>($B$22/12)</f>
        <v>236.25</v>
      </c>
      <c r="I22" s="161">
        <f>($B$22/12)</f>
        <v>236.25</v>
      </c>
      <c r="J22" s="161">
        <f>($B$22/12)</f>
        <v>236.25</v>
      </c>
      <c r="K22" s="161">
        <f>($B$22/12)</f>
        <v>236.25</v>
      </c>
      <c r="L22" s="161">
        <f>($B$22/12)</f>
        <v>236.25</v>
      </c>
      <c r="M22" s="161">
        <f>($B$22/12)</f>
        <v>236.25</v>
      </c>
      <c r="N22" s="161">
        <f>($B$22/12)</f>
        <v>236.25</v>
      </c>
      <c r="O22" s="161">
        <f>($B$22/12)</f>
        <v>236.25</v>
      </c>
      <c r="P22" s="161">
        <f>($B$22/12)</f>
        <v>236.25</v>
      </c>
      <c r="Q22" s="161">
        <f>($B$22/12)</f>
        <v>236.25</v>
      </c>
      <c r="R22" s="161">
        <f>SUM(F22:Q22)</f>
        <v>2835</v>
      </c>
      <c r="S22" s="165">
        <f>(R22/$R$10)</f>
        <v>0.006000600060006</v>
      </c>
    </row>
    <row r="23" ht="14.7" customHeight="1">
      <c r="A23" t="s" s="160">
        <v>211</v>
      </c>
      <c r="B23" s="159">
        <f>($B$10*$D23)</f>
        <v>4725</v>
      </c>
      <c r="C23" s="144"/>
      <c r="D23" s="164">
        <f>'Industry Averages'!C35</f>
        <v>0.01</v>
      </c>
      <c r="E23" s="144"/>
      <c r="F23" s="161">
        <f>($B$23/12)</f>
        <v>393.75</v>
      </c>
      <c r="G23" s="161">
        <f>($B$23/12)</f>
        <v>393.75</v>
      </c>
      <c r="H23" s="161">
        <f>($B$23/12)</f>
        <v>393.75</v>
      </c>
      <c r="I23" s="161">
        <f>($B$23/12)</f>
        <v>393.75</v>
      </c>
      <c r="J23" s="161">
        <f>($B$23/12)</f>
        <v>393.75</v>
      </c>
      <c r="K23" s="161">
        <f>($B$23/12)</f>
        <v>393.75</v>
      </c>
      <c r="L23" s="161">
        <f>($B$23/12)</f>
        <v>393.75</v>
      </c>
      <c r="M23" s="161">
        <f>($B$23/12)</f>
        <v>393.75</v>
      </c>
      <c r="N23" s="161">
        <f>($B$23/12)</f>
        <v>393.75</v>
      </c>
      <c r="O23" s="161">
        <f>($B$23/12)</f>
        <v>393.75</v>
      </c>
      <c r="P23" s="161">
        <f>($B$23/12)</f>
        <v>393.75</v>
      </c>
      <c r="Q23" s="161">
        <f>($B$23/12)</f>
        <v>393.75</v>
      </c>
      <c r="R23" s="161">
        <f>SUM(F23:Q23)</f>
        <v>4725</v>
      </c>
      <c r="S23" s="165">
        <f>(R23/$R$10)</f>
        <v>0.01000100010001</v>
      </c>
    </row>
    <row r="24" ht="14.7" customHeight="1">
      <c r="A24" t="s" s="160">
        <v>101</v>
      </c>
      <c r="B24" s="159">
        <f>($B$10*$D24)</f>
        <v>2362.5</v>
      </c>
      <c r="C24" s="144"/>
      <c r="D24" s="164">
        <f>'Industry Averages'!C36</f>
        <v>0.005</v>
      </c>
      <c r="E24" s="144"/>
      <c r="F24" s="145"/>
      <c r="G24" s="161"/>
      <c r="H24" s="145"/>
      <c r="I24" s="145"/>
      <c r="J24" s="145"/>
      <c r="K24" s="145"/>
      <c r="L24" s="145"/>
      <c r="M24" s="145"/>
      <c r="N24" s="145"/>
      <c r="O24" s="161"/>
      <c r="P24" s="145"/>
      <c r="Q24" s="161">
        <f>$B$24</f>
        <v>2362.5</v>
      </c>
      <c r="R24" s="161">
        <f>SUM(F24:Q24)</f>
        <v>2362.5</v>
      </c>
      <c r="S24" s="165">
        <f>(R24/$R$10)</f>
        <v>0.005000500050005</v>
      </c>
    </row>
    <row r="25" ht="14.7" customHeight="1">
      <c r="A25" t="s" s="160">
        <v>212</v>
      </c>
      <c r="B25" s="159">
        <f>($B$10*$D25)</f>
        <v>3307.5</v>
      </c>
      <c r="C25" s="144"/>
      <c r="D25" s="164">
        <f>'Industry Averages'!C37</f>
        <v>0.007</v>
      </c>
      <c r="E25" s="144"/>
      <c r="F25" t="s" s="146">
        <v>2</v>
      </c>
      <c r="G25" s="161">
        <f>($B$25/2)</f>
        <v>1653.75</v>
      </c>
      <c r="H25" t="s" s="146">
        <v>2</v>
      </c>
      <c r="I25" t="s" s="146">
        <v>2</v>
      </c>
      <c r="J25" t="s" s="146">
        <v>2</v>
      </c>
      <c r="K25" t="s" s="146">
        <v>2</v>
      </c>
      <c r="L25" t="s" s="146">
        <v>2</v>
      </c>
      <c r="M25" t="s" s="146">
        <v>2</v>
      </c>
      <c r="N25" t="s" s="146">
        <v>2</v>
      </c>
      <c r="O25" s="161">
        <f>($B$25/2)</f>
        <v>1653.75</v>
      </c>
      <c r="P25" t="s" s="146">
        <v>2</v>
      </c>
      <c r="Q25" t="s" s="146">
        <v>2</v>
      </c>
      <c r="R25" s="161">
        <f>SUM(F25:Q25)</f>
        <v>3307.5</v>
      </c>
      <c r="S25" s="165">
        <f>(R25/$R$10)</f>
        <v>0.007000700070007</v>
      </c>
    </row>
    <row r="26" ht="14.7" customHeight="1">
      <c r="A26" t="s" s="160">
        <v>213</v>
      </c>
      <c r="B26" s="159">
        <f>($B$10*$D26)</f>
        <v>2835</v>
      </c>
      <c r="C26" s="144"/>
      <c r="D26" s="164">
        <f>'Industry Averages'!C38</f>
        <v>0.006</v>
      </c>
      <c r="E26" s="144"/>
      <c r="F26" t="s" s="146">
        <v>2</v>
      </c>
      <c r="G26" t="s" s="146">
        <v>2</v>
      </c>
      <c r="H26" t="s" s="146">
        <v>2</v>
      </c>
      <c r="I26" t="s" s="146">
        <v>2</v>
      </c>
      <c r="J26" s="161">
        <f>B26</f>
        <v>2835</v>
      </c>
      <c r="K26" t="s" s="146">
        <v>2</v>
      </c>
      <c r="L26" t="s" s="146">
        <v>2</v>
      </c>
      <c r="M26" t="s" s="146">
        <v>2</v>
      </c>
      <c r="N26" t="s" s="146">
        <v>2</v>
      </c>
      <c r="O26" t="s" s="146">
        <v>2</v>
      </c>
      <c r="P26" t="s" s="146">
        <v>2</v>
      </c>
      <c r="Q26" t="s" s="146">
        <v>2</v>
      </c>
      <c r="R26" s="161">
        <f>SUM(F26:Q26)</f>
        <v>2835</v>
      </c>
      <c r="S26" s="165">
        <f>(R26/$R$10)</f>
        <v>0.006000600060006</v>
      </c>
    </row>
    <row r="27" ht="14.7" customHeight="1">
      <c r="A27" t="s" s="160">
        <v>214</v>
      </c>
      <c r="B27" s="159">
        <f>($B$10*$D27)</f>
        <v>9450</v>
      </c>
      <c r="C27" s="144"/>
      <c r="D27" s="164">
        <f>'Industry Averages'!C40</f>
        <v>0.02</v>
      </c>
      <c r="E27" s="144"/>
      <c r="F27" s="161">
        <f>(F10*$D$27)</f>
        <v>648.27</v>
      </c>
      <c r="G27" s="161">
        <f>(G10*$D$27)</f>
        <v>652.05</v>
      </c>
      <c r="H27" s="161">
        <f>(H10*$D$27)</f>
        <v>709.6950000000001</v>
      </c>
      <c r="I27" s="161">
        <f>(I10*$D$27)</f>
        <v>622.755</v>
      </c>
      <c r="J27" s="161">
        <f>(J10*$D$27)</f>
        <v>855.225</v>
      </c>
      <c r="K27" s="161">
        <f>(K10*$D$27)</f>
        <v>721.98</v>
      </c>
      <c r="L27" s="161">
        <f>(L10*$D$27)</f>
        <v>760.725</v>
      </c>
      <c r="M27" s="161">
        <f>(M10*$D$27)</f>
        <v>780.5700000000001</v>
      </c>
      <c r="N27" s="161">
        <f>(N10*$D$27)</f>
        <v>711.585</v>
      </c>
      <c r="O27" s="161">
        <f>(O10*$D$27)</f>
        <v>724.8150000000001</v>
      </c>
      <c r="P27" s="161">
        <f>(P10*$D$27)</f>
        <v>821.205</v>
      </c>
      <c r="Q27" s="161">
        <f>(Q10*$D$27)</f>
        <v>1440.18</v>
      </c>
      <c r="R27" s="161">
        <f>SUM(F27:Q27)</f>
        <v>9449.055</v>
      </c>
      <c r="S27" s="165">
        <f>(R27/$R$10)</f>
        <v>0.02</v>
      </c>
    </row>
    <row r="28" ht="14.7" customHeight="1">
      <c r="A28" t="s" s="160">
        <v>175</v>
      </c>
      <c r="B28" s="159">
        <f>($B$10*$D28)</f>
        <v>1890</v>
      </c>
      <c r="C28" s="144"/>
      <c r="D28" s="164">
        <f>'Industry Averages'!C41</f>
        <v>0.004</v>
      </c>
      <c r="E28" s="144"/>
      <c r="F28" s="161">
        <f>($B$28/2)</f>
        <v>945</v>
      </c>
      <c r="G28" t="s" s="146">
        <v>2</v>
      </c>
      <c r="H28" t="s" s="146">
        <v>2</v>
      </c>
      <c r="I28" t="s" s="146">
        <v>2</v>
      </c>
      <c r="J28" t="s" s="146">
        <v>2</v>
      </c>
      <c r="K28" t="s" s="146">
        <v>2</v>
      </c>
      <c r="L28" s="161">
        <f>($B$28/2)</f>
        <v>945</v>
      </c>
      <c r="M28" t="s" s="146">
        <v>2</v>
      </c>
      <c r="N28" t="s" s="146">
        <v>2</v>
      </c>
      <c r="O28" t="s" s="146">
        <v>2</v>
      </c>
      <c r="P28" t="s" s="146">
        <v>2</v>
      </c>
      <c r="Q28" t="s" s="146">
        <v>2</v>
      </c>
      <c r="R28" s="161">
        <f>SUM(F28:Q28)</f>
        <v>1890</v>
      </c>
      <c r="S28" s="165">
        <f>(R28/$R$10)</f>
        <v>0.004000400040004</v>
      </c>
    </row>
    <row r="29" ht="14.7" customHeight="1">
      <c r="A29" t="s" s="160">
        <v>111</v>
      </c>
      <c r="B29" s="159">
        <f>($B$10*$D29)</f>
        <v>2835</v>
      </c>
      <c r="C29" s="144"/>
      <c r="D29" s="164">
        <f>'Industry Averages'!C42</f>
        <v>0.006</v>
      </c>
      <c r="E29" s="144"/>
      <c r="F29" t="s" s="146">
        <v>2</v>
      </c>
      <c r="G29" t="s" s="146">
        <v>2</v>
      </c>
      <c r="H29" s="161">
        <f>($B$29/3)</f>
        <v>945</v>
      </c>
      <c r="I29" t="s" s="146">
        <v>2</v>
      </c>
      <c r="J29" t="s" s="146">
        <v>2</v>
      </c>
      <c r="K29" s="161">
        <f>($B$29/3)</f>
        <v>945</v>
      </c>
      <c r="L29" t="s" s="146">
        <v>2</v>
      </c>
      <c r="M29" t="s" s="146">
        <v>2</v>
      </c>
      <c r="N29" t="s" s="146">
        <v>2</v>
      </c>
      <c r="O29" t="s" s="146">
        <v>2</v>
      </c>
      <c r="P29" s="161">
        <f>($B$29/3)</f>
        <v>945</v>
      </c>
      <c r="Q29" t="s" s="146">
        <v>2</v>
      </c>
      <c r="R29" s="161">
        <f>SUM(F29:Q29)</f>
        <v>2835</v>
      </c>
      <c r="S29" s="165">
        <f>(R29/$R$10)</f>
        <v>0.006000600060006</v>
      </c>
    </row>
    <row r="30" ht="14.7" customHeight="1">
      <c r="A30" t="s" s="160">
        <v>215</v>
      </c>
      <c r="B30" s="159">
        <f>($B$10*$D30)</f>
        <v>1417.5</v>
      </c>
      <c r="C30" s="144"/>
      <c r="D30" s="164">
        <f>'Industry Averages'!C43</f>
        <v>0.003</v>
      </c>
      <c r="E30" s="144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>
        <f>B30</f>
        <v>1417.5</v>
      </c>
      <c r="R30" s="161">
        <f>SUM(F30:Q30)</f>
        <v>1417.5</v>
      </c>
      <c r="S30" s="165">
        <f>(R30/$R$10)</f>
        <v>0.003000300030003</v>
      </c>
    </row>
    <row r="31" ht="14.7" customHeight="1">
      <c r="A31" t="s" s="160">
        <v>216</v>
      </c>
      <c r="B31" s="159">
        <f>($B$10*$D31)</f>
        <v>1417.5</v>
      </c>
      <c r="C31" s="144"/>
      <c r="D31" s="164">
        <f>'Industry Averages'!C44</f>
        <v>0.003</v>
      </c>
      <c r="E31" s="144"/>
      <c r="F31" s="161">
        <f>($B$31/12)</f>
        <v>118.125</v>
      </c>
      <c r="G31" s="161">
        <f>($B$31/12)</f>
        <v>118.125</v>
      </c>
      <c r="H31" s="161">
        <f>($B$31/12)</f>
        <v>118.125</v>
      </c>
      <c r="I31" s="161">
        <f>($B$31/12)</f>
        <v>118.125</v>
      </c>
      <c r="J31" s="161">
        <f>($B$31/12)</f>
        <v>118.125</v>
      </c>
      <c r="K31" s="161">
        <f>($B$31/12)</f>
        <v>118.125</v>
      </c>
      <c r="L31" s="161">
        <f>($B$31/12)</f>
        <v>118.125</v>
      </c>
      <c r="M31" s="161">
        <f>($B$31/12)</f>
        <v>118.125</v>
      </c>
      <c r="N31" s="161">
        <f>($B$31/12)</f>
        <v>118.125</v>
      </c>
      <c r="O31" s="161">
        <f>($B$31/12)</f>
        <v>118.125</v>
      </c>
      <c r="P31" s="161">
        <f>($B$31/12)</f>
        <v>118.125</v>
      </c>
      <c r="Q31" s="161">
        <f>($B$31/12)</f>
        <v>118.125</v>
      </c>
      <c r="R31" s="161">
        <f>SUM(F31:Q31)</f>
        <v>1417.5</v>
      </c>
      <c r="S31" s="165">
        <f>(R31/$R$10)</f>
        <v>0.003000300030003</v>
      </c>
    </row>
    <row r="32" ht="14.7" customHeight="1">
      <c r="A32" t="s" s="160">
        <v>115</v>
      </c>
      <c r="B32" s="159">
        <f>($B$10*$D32)</f>
        <v>1417.5</v>
      </c>
      <c r="C32" s="144"/>
      <c r="D32" s="164">
        <f>'Industry Averages'!C45</f>
        <v>0.003</v>
      </c>
      <c r="E32" s="144"/>
      <c r="F32" s="161">
        <f>($B$32/12)</f>
        <v>118.125</v>
      </c>
      <c r="G32" s="161">
        <f>($B$32/12)</f>
        <v>118.125</v>
      </c>
      <c r="H32" s="161">
        <f>($B$32/12)</f>
        <v>118.125</v>
      </c>
      <c r="I32" s="161">
        <f>($B$32/12)</f>
        <v>118.125</v>
      </c>
      <c r="J32" s="161">
        <f>($B$32/12)</f>
        <v>118.125</v>
      </c>
      <c r="K32" s="161">
        <f>($B$32/12)</f>
        <v>118.125</v>
      </c>
      <c r="L32" s="161">
        <f>($B$32/12)</f>
        <v>118.125</v>
      </c>
      <c r="M32" s="161">
        <f>($B$32/12)</f>
        <v>118.125</v>
      </c>
      <c r="N32" s="161">
        <f>($B$32/12)</f>
        <v>118.125</v>
      </c>
      <c r="O32" s="161">
        <f>($B$32/12)</f>
        <v>118.125</v>
      </c>
      <c r="P32" s="161">
        <f>($B$32/12)</f>
        <v>118.125</v>
      </c>
      <c r="Q32" s="161">
        <f>($B$32/12)</f>
        <v>118.125</v>
      </c>
      <c r="R32" s="161">
        <f>SUM(F32:Q32)</f>
        <v>1417.5</v>
      </c>
      <c r="S32" s="165">
        <f>(R32/$R$10)</f>
        <v>0.003000300030003</v>
      </c>
    </row>
    <row r="33" ht="14.7" customHeight="1">
      <c r="A33" t="s" s="160">
        <v>217</v>
      </c>
      <c r="B33" s="159">
        <f>($B$10*$D33)</f>
        <v>2835</v>
      </c>
      <c r="C33" s="144"/>
      <c r="D33" s="164">
        <f>'Industry Averages'!C46</f>
        <v>0.006</v>
      </c>
      <c r="E33" s="144"/>
      <c r="F33" s="161">
        <f>($B$33/12)</f>
        <v>236.25</v>
      </c>
      <c r="G33" s="161">
        <f>($B$33/12)</f>
        <v>236.25</v>
      </c>
      <c r="H33" s="161">
        <f>($B$33/12)</f>
        <v>236.25</v>
      </c>
      <c r="I33" s="161">
        <f>($B$33/12)</f>
        <v>236.25</v>
      </c>
      <c r="J33" s="161">
        <f>($B$33/12)</f>
        <v>236.25</v>
      </c>
      <c r="K33" s="161">
        <f>($B$33/12)</f>
        <v>236.25</v>
      </c>
      <c r="L33" s="161">
        <f>($B$33/12)</f>
        <v>236.25</v>
      </c>
      <c r="M33" s="161">
        <f>($B$33/12)</f>
        <v>236.25</v>
      </c>
      <c r="N33" s="161">
        <f>($B$33/12)</f>
        <v>236.25</v>
      </c>
      <c r="O33" s="161">
        <f>($B$33/12)</f>
        <v>236.25</v>
      </c>
      <c r="P33" s="161">
        <f>($B$33/12)</f>
        <v>236.25</v>
      </c>
      <c r="Q33" s="161">
        <f>($B$33/12)</f>
        <v>236.25</v>
      </c>
      <c r="R33" s="161">
        <f>SUM(F33:Q33)</f>
        <v>2835</v>
      </c>
      <c r="S33" s="165">
        <f>(R33/$R$10)</f>
        <v>0.006000600060006</v>
      </c>
    </row>
    <row r="34" ht="9" customHeight="1">
      <c r="A34" t="s" s="169">
        <v>2</v>
      </c>
      <c r="B34" s="159"/>
      <c r="C34" s="144"/>
      <c r="D34" s="144"/>
      <c r="E34" s="144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t="s" s="146">
        <v>2</v>
      </c>
      <c r="R34" s="161"/>
      <c r="S34" t="s" s="146">
        <v>2</v>
      </c>
    </row>
    <row r="35" ht="14.7" customHeight="1">
      <c r="A35" t="s" s="160">
        <v>218</v>
      </c>
      <c r="B35" s="159">
        <f>SUM(B14:B33)</f>
        <v>447492.5</v>
      </c>
      <c r="C35" s="144"/>
      <c r="D35" s="144"/>
      <c r="E35" s="144"/>
      <c r="F35" s="161">
        <f>SUM(F14:F34)</f>
        <v>32962.6184680365</v>
      </c>
      <c r="G35" s="161">
        <f>SUM(G14:G34)</f>
        <v>33039.6916324201</v>
      </c>
      <c r="H35" s="161">
        <f>SUM(H14:H34)</f>
        <v>34814.5822180365</v>
      </c>
      <c r="I35" s="161">
        <f>SUM(I14:I34)</f>
        <v>30999.7932728311</v>
      </c>
      <c r="J35" s="161">
        <f>SUM(J14:J34)</f>
        <v>41092.3117180365</v>
      </c>
      <c r="K35" s="161">
        <f>SUM(K14:K34)</f>
        <v>34936.4270228311</v>
      </c>
      <c r="L35" s="161">
        <f>SUM(L14:L34)</f>
        <v>36353.1367180365</v>
      </c>
      <c r="M35" s="161">
        <f>SUM(M14:M34)</f>
        <v>36006.4634680365</v>
      </c>
      <c r="N35" s="161">
        <f>SUM(N14:N34)</f>
        <v>33678.0177728311</v>
      </c>
      <c r="O35" s="161">
        <f>SUM(O14:O34)</f>
        <v>35979.2002180365</v>
      </c>
      <c r="P35" s="161">
        <f>SUM(P14:P34)</f>
        <v>37928.0607728311</v>
      </c>
      <c r="Q35" s="161">
        <f>SUM(Q14:Q34)</f>
        <v>59673.7049680365</v>
      </c>
      <c r="R35" s="161">
        <f>SUM(R14:R34)</f>
        <v>447464.00825</v>
      </c>
      <c r="S35" s="165">
        <f>(R35/$R$10)</f>
        <v>0.9471084849225661</v>
      </c>
    </row>
    <row r="36" ht="14.7" customHeight="1">
      <c r="A36" s="153"/>
      <c r="B36" s="159"/>
      <c r="C36" s="144"/>
      <c r="D36" s="144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</row>
    <row r="37" ht="14.7" customHeight="1">
      <c r="A37" t="s" s="170">
        <v>120</v>
      </c>
      <c r="B37" s="162">
        <f>(B10-B35)</f>
        <v>25007.5</v>
      </c>
      <c r="C37" s="171"/>
      <c r="D37" s="171"/>
      <c r="E37" s="171"/>
      <c r="F37" s="172">
        <f>(F10-F35)</f>
        <v>-549.1184680365</v>
      </c>
      <c r="G37" s="172">
        <f>(G10-G35)</f>
        <v>-437.1916324201</v>
      </c>
      <c r="H37" s="172">
        <f>(H10-H35)</f>
        <v>670.1677819635</v>
      </c>
      <c r="I37" s="172">
        <f>(I10-I35)</f>
        <v>137.9567271689</v>
      </c>
      <c r="J37" s="172">
        <f>(J10-J35)</f>
        <v>1668.9382819635</v>
      </c>
      <c r="K37" s="172">
        <f>(K10-K35)</f>
        <v>1162.5729771689</v>
      </c>
      <c r="L37" s="172">
        <f>(L10-L35)</f>
        <v>1683.1132819635</v>
      </c>
      <c r="M37" s="172">
        <f>(M10-M35)</f>
        <v>3022.0365319635</v>
      </c>
      <c r="N37" s="172">
        <f>(N10-N35)</f>
        <v>1901.2322271689</v>
      </c>
      <c r="O37" s="172">
        <f>(O10-O35)</f>
        <v>261.5497819635</v>
      </c>
      <c r="P37" s="172">
        <f>(P10-P35)</f>
        <v>3132.1892271689</v>
      </c>
      <c r="Q37" s="172">
        <f>(Q10-Q35)</f>
        <v>12335.2950319635</v>
      </c>
      <c r="R37" s="172">
        <f>SUM(F37:Q37)</f>
        <v>24988.74175</v>
      </c>
      <c r="S37" s="173">
        <f>R37/R10</f>
        <v>0.0528915150774337</v>
      </c>
    </row>
    <row r="38" ht="14.7" customHeight="1">
      <c r="A38" t="s" s="160">
        <v>219</v>
      </c>
      <c r="B38" s="159"/>
      <c r="C38" s="144"/>
      <c r="D38" s="144"/>
      <c r="E38" s="144"/>
      <c r="F38" s="161">
        <f>'Funding'!B15</f>
        <v>0</v>
      </c>
      <c r="G38" s="161">
        <f>$F$38</f>
        <v>0</v>
      </c>
      <c r="H38" s="161">
        <f>$F$38</f>
        <v>0</v>
      </c>
      <c r="I38" s="161">
        <f>$F$38</f>
        <v>0</v>
      </c>
      <c r="J38" s="161">
        <f>$F$38</f>
        <v>0</v>
      </c>
      <c r="K38" s="161">
        <f>$F$38</f>
        <v>0</v>
      </c>
      <c r="L38" s="161">
        <f>$F$38</f>
        <v>0</v>
      </c>
      <c r="M38" s="161">
        <f>$F$38</f>
        <v>0</v>
      </c>
      <c r="N38" s="161">
        <f>$F$38</f>
        <v>0</v>
      </c>
      <c r="O38" s="161">
        <f>$F$38</f>
        <v>0</v>
      </c>
      <c r="P38" s="161">
        <f>$F$38</f>
        <v>0</v>
      </c>
      <c r="Q38" s="161">
        <f>$F$38</f>
        <v>0</v>
      </c>
      <c r="R38" s="172">
        <f>SUM(F38:Q38)</f>
        <v>0</v>
      </c>
      <c r="S38" s="145"/>
    </row>
    <row r="39" ht="14.7" customHeight="1">
      <c r="A39" t="s" s="148">
        <v>220</v>
      </c>
      <c r="B39" s="159"/>
      <c r="C39" s="144"/>
      <c r="D39" s="144"/>
      <c r="E39" s="144"/>
      <c r="F39" s="161">
        <f>(F37-F38)</f>
        <v>-549.1184680365</v>
      </c>
      <c r="G39" s="161">
        <f>(G37-G38)</f>
        <v>-437.1916324201</v>
      </c>
      <c r="H39" s="161">
        <f>(H37-H38)</f>
        <v>670.1677819635</v>
      </c>
      <c r="I39" s="161">
        <f>(I37-I38)</f>
        <v>137.9567271689</v>
      </c>
      <c r="J39" s="161">
        <f>(J37-J38)</f>
        <v>1668.9382819635</v>
      </c>
      <c r="K39" s="161">
        <f>(K37-K38)</f>
        <v>1162.5729771689</v>
      </c>
      <c r="L39" s="161">
        <f>(L37-L38)</f>
        <v>1683.1132819635</v>
      </c>
      <c r="M39" s="161">
        <f>(M37-M38)</f>
        <v>3022.0365319635</v>
      </c>
      <c r="N39" s="161">
        <f>(N37-N38)</f>
        <v>1901.2322271689</v>
      </c>
      <c r="O39" s="161">
        <f>(O37-O38)</f>
        <v>261.5497819635</v>
      </c>
      <c r="P39" s="161">
        <f>(P37-P38)</f>
        <v>3132.1892271689</v>
      </c>
      <c r="Q39" s="161">
        <f>(Q37-Q38)</f>
        <v>12335.2950319635</v>
      </c>
      <c r="R39" s="172">
        <f>SUM(F39:Q39)</f>
        <v>24988.74175</v>
      </c>
      <c r="S39" s="174">
        <f>(R39/R10)</f>
        <v>0.0528915150774337</v>
      </c>
    </row>
    <row r="40" ht="14.7" customHeight="1">
      <c r="A40" s="153"/>
      <c r="B40" s="159"/>
      <c r="C40" s="144"/>
      <c r="D40" s="144"/>
      <c r="E40" s="144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</row>
    <row r="41" ht="14.7" customHeight="1">
      <c r="A41" t="s" s="148">
        <v>222</v>
      </c>
      <c r="B41" s="159"/>
      <c r="C41" s="144"/>
      <c r="D41" s="167"/>
      <c r="E41" s="144"/>
      <c r="F41" s="175">
        <v>31</v>
      </c>
      <c r="G41" s="175">
        <v>28</v>
      </c>
      <c r="H41" s="175">
        <v>31</v>
      </c>
      <c r="I41" s="175">
        <v>30</v>
      </c>
      <c r="J41" s="175">
        <v>31</v>
      </c>
      <c r="K41" s="175">
        <v>30</v>
      </c>
      <c r="L41" s="175">
        <v>31</v>
      </c>
      <c r="M41" s="175">
        <v>31</v>
      </c>
      <c r="N41" s="175">
        <v>30</v>
      </c>
      <c r="O41" s="175">
        <v>31</v>
      </c>
      <c r="P41" s="175">
        <v>30</v>
      </c>
      <c r="Q41" s="175">
        <v>31</v>
      </c>
      <c r="R41" s="175">
        <f>SUM(A41:Q41)</f>
        <v>365</v>
      </c>
      <c r="S41" s="145"/>
    </row>
    <row r="42" ht="14.7" customHeight="1">
      <c r="A42" t="s" s="148">
        <v>223</v>
      </c>
      <c r="B42" s="159"/>
      <c r="C42" s="144"/>
      <c r="D42" s="167"/>
      <c r="E42" s="144"/>
      <c r="F42" s="176">
        <f>(F41/$R$41)</f>
        <v>0.08493150684931509</v>
      </c>
      <c r="G42" s="176">
        <f>(G41/$R$41)</f>
        <v>0.07671232876712331</v>
      </c>
      <c r="H42" s="176">
        <f>(H41/$R$41)</f>
        <v>0.08493150684931509</v>
      </c>
      <c r="I42" s="176">
        <f>(I41/$R$41)</f>
        <v>0.0821917808219178</v>
      </c>
      <c r="J42" s="176">
        <f>(J41/$R$41)</f>
        <v>0.08493150684931509</v>
      </c>
      <c r="K42" s="176">
        <f>(K41/$R$41)</f>
        <v>0.0821917808219178</v>
      </c>
      <c r="L42" s="176">
        <f>(L41/$R$41)</f>
        <v>0.08493150684931509</v>
      </c>
      <c r="M42" s="176">
        <f>(M41/$R$41)</f>
        <v>0.08493150684931509</v>
      </c>
      <c r="N42" s="176">
        <f>(N41/$R$41)</f>
        <v>0.0821917808219178</v>
      </c>
      <c r="O42" s="176">
        <f>(O41/$R$41)</f>
        <v>0.08493150684931509</v>
      </c>
      <c r="P42" s="176">
        <f>(P41/$R$41)</f>
        <v>0.0821917808219178</v>
      </c>
      <c r="Q42" s="176">
        <f>(Q41/$R$41)</f>
        <v>0.08493150684931509</v>
      </c>
      <c r="R42" s="177">
        <f>(R41/$R$41)</f>
        <v>1</v>
      </c>
      <c r="S42" s="145"/>
    </row>
  </sheetData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45"/>
  <sheetViews>
    <sheetView workbookViewId="0" showGridLines="0" defaultGridColor="1"/>
  </sheetViews>
  <sheetFormatPr defaultColWidth="8.83333" defaultRowHeight="13.9" customHeight="1" outlineLevelRow="0" outlineLevelCol="0"/>
  <cols>
    <col min="1" max="1" width="19.8516" style="180" customWidth="1"/>
    <col min="2" max="2" width="10.5" style="180" customWidth="1"/>
    <col min="3" max="3" width="3.67188" style="180" customWidth="1"/>
    <col min="4" max="4" width="7.85156" style="180" customWidth="1"/>
    <col min="5" max="5" width="3" style="180" customWidth="1"/>
    <col min="6" max="7" width="9.67188" style="180" customWidth="1"/>
    <col min="8" max="8" width="8.85156" style="180" customWidth="1"/>
    <col min="9" max="9" width="9.35156" style="180" customWidth="1"/>
    <col min="10" max="10" width="9.17188" style="180" customWidth="1"/>
    <col min="11" max="11" width="9" style="180" customWidth="1"/>
    <col min="12" max="18" width="8.85156" style="180" customWidth="1"/>
    <col min="19" max="19" width="7.85156" style="180" customWidth="1"/>
    <col min="20" max="16384" width="8.85156" style="180" customWidth="1"/>
  </cols>
  <sheetData>
    <row r="1" ht="17.65" customHeight="1">
      <c r="A1" t="s" s="139">
        <v>226</v>
      </c>
      <c r="B1" s="140"/>
      <c r="C1" s="140"/>
      <c r="D1" s="140"/>
      <c r="E1" s="140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ht="17.65" customHeight="1">
      <c r="A2" t="s" s="142">
        <v>184</v>
      </c>
      <c r="B2" t="s" s="143">
        <v>2</v>
      </c>
      <c r="C2" s="144"/>
      <c r="D2" s="144"/>
      <c r="E2" s="144"/>
      <c r="F2" s="145"/>
      <c r="G2" s="145"/>
      <c r="H2" t="s" s="146">
        <v>2</v>
      </c>
      <c r="I2" t="s" s="147">
        <v>2</v>
      </c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ht="14.7" customHeight="1">
      <c r="A3" t="s" s="148">
        <v>2</v>
      </c>
      <c r="B3" s="144"/>
      <c r="C3" s="144"/>
      <c r="D3" s="144"/>
      <c r="E3" s="144"/>
      <c r="F3" s="145"/>
      <c r="G3" s="145"/>
      <c r="H3" s="181"/>
      <c r="I3" t="s" s="147">
        <v>227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ht="14.7" customHeight="1">
      <c r="A4" t="s" s="149">
        <v>185</v>
      </c>
      <c r="B4" s="150">
        <f>'Assumptions'!B17</f>
        <v>1400</v>
      </c>
      <c r="C4" s="144"/>
      <c r="D4" s="144"/>
      <c r="E4" s="144"/>
      <c r="F4" s="145"/>
      <c r="G4" s="145"/>
      <c r="H4" s="144"/>
      <c r="I4" s="144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ht="14.7" customHeight="1">
      <c r="A5" t="s" s="149">
        <v>186</v>
      </c>
      <c r="B5" s="151">
        <f>'Assumptions'!B20</f>
        <v>1260</v>
      </c>
      <c r="C5" s="144"/>
      <c r="D5" s="152">
        <v>1</v>
      </c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ht="14.7" customHeight="1">
      <c r="A6" s="153"/>
      <c r="B6" s="144"/>
      <c r="C6" s="144"/>
      <c r="D6" s="144"/>
      <c r="E6" s="144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/>
    </row>
    <row r="7" ht="14.7" customHeight="1">
      <c r="A7" t="s" s="154">
        <v>2</v>
      </c>
      <c r="B7" t="s" s="155">
        <v>2</v>
      </c>
      <c r="C7" s="144"/>
      <c r="D7" t="s" s="143">
        <v>187</v>
      </c>
      <c r="E7" s="144"/>
      <c r="F7" t="s" s="155">
        <v>188</v>
      </c>
      <c r="G7" t="s" s="155">
        <v>189</v>
      </c>
      <c r="H7" t="s" s="155">
        <v>190</v>
      </c>
      <c r="I7" t="s" s="155">
        <v>191</v>
      </c>
      <c r="J7" t="s" s="155">
        <v>192</v>
      </c>
      <c r="K7" t="s" s="155">
        <v>193</v>
      </c>
      <c r="L7" t="s" s="155">
        <v>194</v>
      </c>
      <c r="M7" t="s" s="155">
        <v>195</v>
      </c>
      <c r="N7" t="s" s="155">
        <v>196</v>
      </c>
      <c r="O7" t="s" s="155">
        <v>197</v>
      </c>
      <c r="P7" t="s" s="155">
        <v>198</v>
      </c>
      <c r="Q7" t="s" s="155">
        <v>199</v>
      </c>
      <c r="R7" t="s" s="155">
        <v>180</v>
      </c>
      <c r="S7" t="s" s="155">
        <v>200</v>
      </c>
    </row>
    <row r="8" ht="14.7" customHeight="1">
      <c r="A8" s="153"/>
      <c r="B8" s="156"/>
      <c r="C8" s="144"/>
      <c r="D8" t="s" s="157">
        <v>201</v>
      </c>
      <c r="E8" s="158"/>
      <c r="F8" t="s" s="155">
        <v>2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t="s" s="155">
        <v>2</v>
      </c>
      <c r="S8" t="s" s="157">
        <v>202</v>
      </c>
    </row>
    <row r="9" ht="14.7" customHeight="1">
      <c r="A9" t="s" s="182">
        <v>228</v>
      </c>
      <c r="B9" s="183">
        <v>50000</v>
      </c>
      <c r="C9" s="144"/>
      <c r="D9" s="144"/>
      <c r="E9" s="144"/>
      <c r="F9" s="184">
        <f>B9</f>
        <v>50000</v>
      </c>
      <c r="G9" s="184">
        <f>(F9+F40)</f>
        <v>45543.8521552511</v>
      </c>
      <c r="H9" s="184">
        <f>(G9+G40)</f>
        <v>41420.9349406392</v>
      </c>
      <c r="I9" s="184">
        <f>(H9+H40)</f>
        <v>37798.1195958903</v>
      </c>
      <c r="J9" s="184">
        <f>(I9+I40)</f>
        <v>33956.0511278538</v>
      </c>
      <c r="K9" s="184">
        <f>(J9+J40)</f>
        <v>30921.5927831049</v>
      </c>
      <c r="L9" s="184">
        <f>(K9+K40)</f>
        <v>27732.6768150684</v>
      </c>
      <c r="M9" s="184">
        <f>(L9+L40)</f>
        <v>24802.1684703195</v>
      </c>
      <c r="N9" s="184">
        <f>(M9+M40)</f>
        <v>22833.8906255706</v>
      </c>
      <c r="O9" s="184">
        <f>(N9+N40)</f>
        <v>20196.9491575341</v>
      </c>
      <c r="P9" s="184">
        <f>(O9+O40)</f>
        <v>16259.5118127852</v>
      </c>
      <c r="Q9" s="184">
        <f>(P9+P40)</f>
        <v>14416.7483447487</v>
      </c>
      <c r="R9" s="185"/>
      <c r="S9" s="185"/>
    </row>
    <row r="10" ht="14.7" customHeight="1">
      <c r="A10" s="153"/>
      <c r="B10" s="159"/>
      <c r="C10" s="144"/>
      <c r="D10" s="144"/>
      <c r="E10" s="144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</row>
    <row r="11" ht="14.7" customHeight="1">
      <c r="A11" t="s" s="160">
        <v>229</v>
      </c>
      <c r="B11" s="159">
        <f>(B5*B12)</f>
        <v>346500</v>
      </c>
      <c r="C11" s="144"/>
      <c r="D11" s="144"/>
      <c r="E11" s="144"/>
      <c r="F11" s="161">
        <f>($B$11*F13)</f>
        <v>23769.9</v>
      </c>
      <c r="G11" s="161">
        <f>($B$11*G13)</f>
        <v>23908.5</v>
      </c>
      <c r="H11" s="161">
        <f>($B$11*H13)</f>
        <v>26022.15</v>
      </c>
      <c r="I11" s="161">
        <f>($B$11*I13)</f>
        <v>22834.35</v>
      </c>
      <c r="J11" s="161">
        <f>($B$11*J13)</f>
        <v>31358.25</v>
      </c>
      <c r="K11" s="161">
        <f>($B$11*K13)</f>
        <v>26472.6</v>
      </c>
      <c r="L11" s="161">
        <f>($B$11*L13)</f>
        <v>27893.25</v>
      </c>
      <c r="M11" s="161">
        <f>($B$11*M13)</f>
        <v>28620.9</v>
      </c>
      <c r="N11" s="161">
        <f>($B$11*N13)</f>
        <v>26091.45</v>
      </c>
      <c r="O11" s="161">
        <f>($B$11*O13)</f>
        <v>26576.55</v>
      </c>
      <c r="P11" s="161">
        <f>($B$11*P13)</f>
        <v>30110.85</v>
      </c>
      <c r="Q11" s="161">
        <f>($B$11*Q13)</f>
        <v>52806.6</v>
      </c>
      <c r="R11" s="161">
        <f>SUM(F11:Q11)</f>
        <v>346465.35</v>
      </c>
      <c r="S11" s="161"/>
    </row>
    <row r="12" ht="14.7" customHeight="1">
      <c r="A12" t="s" s="149">
        <v>204</v>
      </c>
      <c r="B12" s="162">
        <f>'Assumptions'!C39</f>
        <v>275</v>
      </c>
      <c r="C12" s="144"/>
      <c r="D12" s="144"/>
      <c r="E12" s="144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t="s" s="146">
        <v>2</v>
      </c>
      <c r="S12" s="145"/>
    </row>
    <row r="13" ht="14.7" customHeight="1">
      <c r="A13" t="s" s="148">
        <v>205</v>
      </c>
      <c r="B13" s="159"/>
      <c r="C13" s="144"/>
      <c r="D13" s="163">
        <f>SUM(E13:Q13)</f>
        <v>0.9999</v>
      </c>
      <c r="E13" s="164"/>
      <c r="F13" s="165">
        <v>0.06859999999999999</v>
      </c>
      <c r="G13" s="165">
        <v>0.06900000000000001</v>
      </c>
      <c r="H13" s="165">
        <v>0.0751</v>
      </c>
      <c r="I13" s="165">
        <v>0.0659</v>
      </c>
      <c r="J13" s="165">
        <v>0.0905</v>
      </c>
      <c r="K13" s="165">
        <v>0.0764</v>
      </c>
      <c r="L13" s="165">
        <v>0.0805</v>
      </c>
      <c r="M13" s="165">
        <v>0.08260000000000001</v>
      </c>
      <c r="N13" s="165">
        <v>0.07530000000000001</v>
      </c>
      <c r="O13" s="165">
        <v>0.0767</v>
      </c>
      <c r="P13" s="165">
        <v>0.08690000000000001</v>
      </c>
      <c r="Q13" s="165">
        <v>0.1524</v>
      </c>
      <c r="R13" s="166">
        <f>SUM(F13:Q13)</f>
        <v>0.9999</v>
      </c>
      <c r="S13" s="166"/>
    </row>
    <row r="14" ht="14.7" customHeight="1">
      <c r="A14" s="153"/>
      <c r="B14" s="159"/>
      <c r="C14" s="144"/>
      <c r="D14" s="144"/>
      <c r="E14" s="144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t="s" s="146">
        <v>2</v>
      </c>
      <c r="S14" s="145"/>
    </row>
    <row r="15" ht="14.7" customHeight="1">
      <c r="A15" t="s" s="160">
        <v>230</v>
      </c>
      <c r="B15" s="159">
        <f>(B9+B11)</f>
        <v>396500</v>
      </c>
      <c r="C15" s="144"/>
      <c r="D15" s="144"/>
      <c r="E15" s="144"/>
      <c r="F15" s="161">
        <f>(F9+F11)</f>
        <v>73769.899999999994</v>
      </c>
      <c r="G15" s="161">
        <f>(G9+G11)</f>
        <v>69452.352155251094</v>
      </c>
      <c r="H15" s="161">
        <f>(H9+H11)</f>
        <v>67443.084940639194</v>
      </c>
      <c r="I15" s="161">
        <f>(I9+I11)</f>
        <v>60632.4695958903</v>
      </c>
      <c r="J15" s="161">
        <f>(J9+J11)</f>
        <v>65314.3011278538</v>
      </c>
      <c r="K15" s="161">
        <f>(K9+K11)</f>
        <v>57394.1927831049</v>
      </c>
      <c r="L15" s="161">
        <f>(L9+L11)</f>
        <v>55625.9268150684</v>
      </c>
      <c r="M15" s="161">
        <f>(M9+M11)</f>
        <v>53423.0684703195</v>
      </c>
      <c r="N15" s="161">
        <f>(N9+N11)</f>
        <v>48925.3406255706</v>
      </c>
      <c r="O15" s="161">
        <f>(O9+O11)</f>
        <v>46773.4991575341</v>
      </c>
      <c r="P15" s="161">
        <f>(P9+P11)</f>
        <v>46370.3618127852</v>
      </c>
      <c r="Q15" s="161">
        <f>(Q9+Q11)</f>
        <v>67223.348344748694</v>
      </c>
      <c r="R15" s="161">
        <f>SUM(F15:Q15)</f>
        <v>712347.845828766</v>
      </c>
      <c r="S15" t="s" s="146">
        <v>2</v>
      </c>
    </row>
    <row r="16" ht="14.7" customHeight="1">
      <c r="A16" s="153"/>
      <c r="B16" s="159"/>
      <c r="C16" s="144"/>
      <c r="D16" s="144"/>
      <c r="E16" s="144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t="s" s="146">
        <v>2</v>
      </c>
      <c r="S16" s="145"/>
    </row>
    <row r="17" ht="14.7" customHeight="1">
      <c r="A17" t="s" s="160">
        <v>231</v>
      </c>
      <c r="B17" s="159"/>
      <c r="C17" s="144"/>
      <c r="D17" s="164"/>
      <c r="E17" s="144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t="s" s="146">
        <v>2</v>
      </c>
      <c r="S17" s="145"/>
    </row>
    <row r="18" ht="14.7" customHeight="1">
      <c r="A18" t="s" s="160">
        <v>232</v>
      </c>
      <c r="B18" s="159">
        <f>($D$18*B11)</f>
        <v>200970</v>
      </c>
      <c r="C18" s="144"/>
      <c r="D18" s="164">
        <f>'Assumptions'!C47</f>
        <v>0.58</v>
      </c>
      <c r="E18" t="s" s="167">
        <v>165</v>
      </c>
      <c r="F18" s="161">
        <f>(F11*$D$18)</f>
        <v>13786.542</v>
      </c>
      <c r="G18" s="161">
        <f>(G11*$D$18)</f>
        <v>13866.93</v>
      </c>
      <c r="H18" s="161">
        <f>(H11*$D$18)</f>
        <v>15092.847</v>
      </c>
      <c r="I18" s="161">
        <f>(I11*$D$18)</f>
        <v>13243.923</v>
      </c>
      <c r="J18" s="161">
        <f>(J11*$D$18)</f>
        <v>18187.785</v>
      </c>
      <c r="K18" s="161">
        <f>(K11*$D$18)</f>
        <v>15354.108</v>
      </c>
      <c r="L18" s="161">
        <f>(L11*$D$18)</f>
        <v>16178.085</v>
      </c>
      <c r="M18" s="161">
        <f>(M11*$D$18)</f>
        <v>16600.122</v>
      </c>
      <c r="N18" s="161">
        <f>(N11*$D$18)</f>
        <v>15133.041</v>
      </c>
      <c r="O18" s="161">
        <f>(O11*$D$18)</f>
        <v>15414.399</v>
      </c>
      <c r="P18" s="161">
        <f>(P11*$D$18)</f>
        <v>17464.293</v>
      </c>
      <c r="Q18" s="161">
        <f>(Q11*$D$18)</f>
        <v>30627.828</v>
      </c>
      <c r="R18" s="161">
        <f>SUM(F18:Q18)</f>
        <v>200949.903</v>
      </c>
      <c r="S18" s="165">
        <f>(R18/$R$11)</f>
        <v>0.58</v>
      </c>
    </row>
    <row r="19" ht="14.7" customHeight="1">
      <c r="A19" s="153"/>
      <c r="B19" s="159"/>
      <c r="C19" s="144"/>
      <c r="D19" t="s" s="168">
        <v>2</v>
      </c>
      <c r="E19" s="144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t="s" s="146">
        <v>2</v>
      </c>
      <c r="S19" t="s" s="146">
        <v>2</v>
      </c>
    </row>
    <row r="20" ht="14.7" customHeight="1">
      <c r="A20" t="s" s="186">
        <v>233</v>
      </c>
      <c r="B20" s="159"/>
      <c r="C20" s="144"/>
      <c r="D20" s="144"/>
      <c r="E20" s="144"/>
      <c r="F20" t="s" s="146">
        <v>2</v>
      </c>
      <c r="G20" t="s" s="146">
        <v>2</v>
      </c>
      <c r="H20" t="s" s="146">
        <v>2</v>
      </c>
      <c r="I20" t="s" s="146">
        <v>2</v>
      </c>
      <c r="J20" t="s" s="146">
        <v>2</v>
      </c>
      <c r="K20" t="s" s="146">
        <v>2</v>
      </c>
      <c r="L20" t="s" s="146">
        <v>2</v>
      </c>
      <c r="M20" t="s" s="146">
        <v>2</v>
      </c>
      <c r="N20" t="s" s="146">
        <v>2</v>
      </c>
      <c r="O20" t="s" s="146">
        <v>2</v>
      </c>
      <c r="P20" t="s" s="146">
        <v>2</v>
      </c>
      <c r="Q20" t="s" s="146">
        <v>2</v>
      </c>
      <c r="R20" t="s" s="146">
        <v>2</v>
      </c>
      <c r="S20" t="s" s="146">
        <v>2</v>
      </c>
    </row>
    <row r="21" ht="14.7" customHeight="1">
      <c r="A21" t="s" s="160">
        <v>208</v>
      </c>
      <c r="B21" s="159">
        <f>'Assumptions'!B13</f>
        <v>97540</v>
      </c>
      <c r="C21" s="144"/>
      <c r="D21" s="164">
        <f>'Industry Averages'!C23</f>
        <v>0.192</v>
      </c>
      <c r="E21" s="144"/>
      <c r="F21" s="161">
        <f>'Proforma P&amp;L Year 1'!F17</f>
        <v>8284.219178082190</v>
      </c>
      <c r="G21" s="161">
        <f>'Proforma P&amp;L Year 1'!G17</f>
        <v>7482.520547945210</v>
      </c>
      <c r="H21" s="161">
        <f>'Proforma P&amp;L Year 1'!H17</f>
        <v>8284.219178082190</v>
      </c>
      <c r="I21" s="161">
        <f>'Proforma P&amp;L Year 1'!I17</f>
        <v>8016.986301369860</v>
      </c>
      <c r="J21" s="161">
        <f>'Proforma P&amp;L Year 1'!J17</f>
        <v>8284.219178082190</v>
      </c>
      <c r="K21" s="161">
        <f>'Proforma P&amp;L Year 1'!K17</f>
        <v>8016.986301369860</v>
      </c>
      <c r="L21" s="161">
        <f>'Proforma P&amp;L Year 1'!L17</f>
        <v>8284.219178082190</v>
      </c>
      <c r="M21" s="161">
        <f>'Proforma P&amp;L Year 1'!M17</f>
        <v>8284.219178082190</v>
      </c>
      <c r="N21" s="161">
        <f>'Proforma P&amp;L Year 1'!N17</f>
        <v>8016.986301369860</v>
      </c>
      <c r="O21" s="161">
        <f>'Proforma P&amp;L Year 1'!O17</f>
        <v>8284.219178082190</v>
      </c>
      <c r="P21" s="161">
        <f>'Proforma P&amp;L Year 1'!P17</f>
        <v>8016.986301369860</v>
      </c>
      <c r="Q21" s="161">
        <f>'Proforma P&amp;L Year 1'!Q17</f>
        <v>8284.219178082190</v>
      </c>
      <c r="R21" s="161">
        <f>SUM(F21:Q21)</f>
        <v>97540</v>
      </c>
      <c r="S21" s="165">
        <f>(R21/$R$11)</f>
        <v>0.28152887438816</v>
      </c>
    </row>
    <row r="22" ht="14.7" customHeight="1">
      <c r="A22" t="s" s="160">
        <v>86</v>
      </c>
      <c r="B22" s="159">
        <f>'Assumptions'!B26</f>
        <v>35000</v>
      </c>
      <c r="C22" s="144"/>
      <c r="D22" s="164">
        <f>'Industry Averages'!C25</f>
        <v>0.074</v>
      </c>
      <c r="E22" t="s" s="167">
        <v>165</v>
      </c>
      <c r="F22" s="161">
        <f>($B$22/12)</f>
        <v>2916.666666666670</v>
      </c>
      <c r="G22" s="161">
        <f>($B$22/12)</f>
        <v>2916.666666666670</v>
      </c>
      <c r="H22" s="161">
        <f>($B$22/12)</f>
        <v>2916.666666666670</v>
      </c>
      <c r="I22" s="161">
        <f>($B$22/12)</f>
        <v>2916.666666666670</v>
      </c>
      <c r="J22" s="161">
        <f>($B$22/12)</f>
        <v>2916.666666666670</v>
      </c>
      <c r="K22" s="161">
        <f>($B$22/12)</f>
        <v>2916.666666666670</v>
      </c>
      <c r="L22" s="161">
        <f>($B$22/12)</f>
        <v>2916.666666666670</v>
      </c>
      <c r="M22" s="161">
        <f>($B$22/12)</f>
        <v>2916.666666666670</v>
      </c>
      <c r="N22" s="161">
        <f>($B$22/12)</f>
        <v>2916.666666666670</v>
      </c>
      <c r="O22" s="161">
        <f>($B$22/12)</f>
        <v>2916.666666666670</v>
      </c>
      <c r="P22" s="161">
        <f>($B$22/12)</f>
        <v>2916.666666666670</v>
      </c>
      <c r="Q22" s="161">
        <f>($B$22/12)</f>
        <v>2916.666666666670</v>
      </c>
      <c r="R22" s="161">
        <f>SUM(F22:Q22)</f>
        <v>35000</v>
      </c>
      <c r="S22" s="165">
        <f>(R22/$R$11)</f>
        <v>0.101020203030404</v>
      </c>
    </row>
    <row r="23" ht="14.7" customHeight="1">
      <c r="A23" t="s" s="160">
        <v>209</v>
      </c>
      <c r="B23" s="159">
        <f>(B11*D23)</f>
        <v>4504.5</v>
      </c>
      <c r="C23" s="144"/>
      <c r="D23" s="164">
        <f>'Industry Averages'!C26+'Industry Averages'!C27+'Industry Averages'!C28</f>
        <v>0.013</v>
      </c>
      <c r="E23" s="144"/>
      <c r="F23" s="161">
        <f>($B$23/12)</f>
        <v>375.375</v>
      </c>
      <c r="G23" s="161">
        <f>($B$23/12)</f>
        <v>375.375</v>
      </c>
      <c r="H23" s="161">
        <f>($B$23/12)</f>
        <v>375.375</v>
      </c>
      <c r="I23" s="161">
        <f>($B$23/12)</f>
        <v>375.375</v>
      </c>
      <c r="J23" s="161">
        <f>($B$23/12)</f>
        <v>375.375</v>
      </c>
      <c r="K23" s="161">
        <f>($B$23/12)</f>
        <v>375.375</v>
      </c>
      <c r="L23" s="161">
        <f>($B$23/12)</f>
        <v>375.375</v>
      </c>
      <c r="M23" s="161">
        <f>($B$23/12)</f>
        <v>375.375</v>
      </c>
      <c r="N23" s="161">
        <f>($B$23/12)</f>
        <v>375.375</v>
      </c>
      <c r="O23" s="161">
        <f>($B$23/12)</f>
        <v>375.375</v>
      </c>
      <c r="P23" s="161">
        <f>($B$23/12)</f>
        <v>375.375</v>
      </c>
      <c r="Q23" s="161">
        <f>($B$23/12)</f>
        <v>375.375</v>
      </c>
      <c r="R23" s="161">
        <f>SUM(F23:Q23)</f>
        <v>4504.5</v>
      </c>
      <c r="S23" s="165">
        <f>(R23/$R$11)</f>
        <v>0.013001300130013</v>
      </c>
    </row>
    <row r="24" ht="14.7" customHeight="1">
      <c r="A24" t="s" s="160">
        <v>210</v>
      </c>
      <c r="B24" s="159">
        <f>($B$11*$D24)</f>
        <v>10395</v>
      </c>
      <c r="C24" s="144"/>
      <c r="D24" s="164">
        <f>'Assumptions'!C52</f>
        <v>0.03</v>
      </c>
      <c r="E24" t="s" s="167">
        <v>165</v>
      </c>
      <c r="F24" s="161">
        <f>(F11*$D$24)</f>
        <v>713.097</v>
      </c>
      <c r="G24" s="161">
        <f>(G11*$D$24)</f>
        <v>717.255</v>
      </c>
      <c r="H24" s="161">
        <f>(H11*$D$24)</f>
        <v>780.6645</v>
      </c>
      <c r="I24" s="161">
        <f>(I11*$D$24)</f>
        <v>685.0305</v>
      </c>
      <c r="J24" s="161">
        <f>(J11*$D$24)</f>
        <v>940.7474999999999</v>
      </c>
      <c r="K24" s="161">
        <f>(K11*$D$24)</f>
        <v>794.178</v>
      </c>
      <c r="L24" s="161">
        <f>(L11*$D$24)</f>
        <v>836.7975</v>
      </c>
      <c r="M24" s="161">
        <f>(M11*$D$24)</f>
        <v>858.627</v>
      </c>
      <c r="N24" s="161">
        <f>(N11*$D$24)</f>
        <v>782.7435</v>
      </c>
      <c r="O24" s="161">
        <f>(O11*$D$24)</f>
        <v>797.2965</v>
      </c>
      <c r="P24" s="161">
        <f>(P11*$D$24)</f>
        <v>903.3255</v>
      </c>
      <c r="Q24" s="161">
        <f>(Q11*$D$24)</f>
        <v>1584.198</v>
      </c>
      <c r="R24" s="161">
        <f>SUM(F24:Q24)</f>
        <v>10393.9605</v>
      </c>
      <c r="S24" s="165">
        <f>(R24/$R$11)</f>
        <v>0.03</v>
      </c>
    </row>
    <row r="25" ht="14.7" customHeight="1">
      <c r="A25" t="s" s="160">
        <v>95</v>
      </c>
      <c r="B25" s="159">
        <f>($B$11*$D25)</f>
        <v>2079</v>
      </c>
      <c r="C25" s="144"/>
      <c r="D25" s="164">
        <f>'Industry Averages'!C33</f>
        <v>0.006</v>
      </c>
      <c r="E25" s="144"/>
      <c r="F25" s="161">
        <f>($B$25/12)</f>
        <v>173.25</v>
      </c>
      <c r="G25" s="161">
        <f>($B$25/12)</f>
        <v>173.25</v>
      </c>
      <c r="H25" s="161">
        <f>($B$25/12)</f>
        <v>173.25</v>
      </c>
      <c r="I25" s="161">
        <f>($B$25/12)</f>
        <v>173.25</v>
      </c>
      <c r="J25" s="161">
        <f>($B$25/12)</f>
        <v>173.25</v>
      </c>
      <c r="K25" s="161">
        <f>($B$25/12)</f>
        <v>173.25</v>
      </c>
      <c r="L25" s="161">
        <f>($B$25/12)</f>
        <v>173.25</v>
      </c>
      <c r="M25" s="161">
        <f>($B$25/12)</f>
        <v>173.25</v>
      </c>
      <c r="N25" s="161">
        <f>($B$25/12)</f>
        <v>173.25</v>
      </c>
      <c r="O25" s="161">
        <f>($B$25/12)</f>
        <v>173.25</v>
      </c>
      <c r="P25" s="161">
        <f>($B$25/12)</f>
        <v>173.25</v>
      </c>
      <c r="Q25" s="161">
        <f>($B$25/12)</f>
        <v>173.25</v>
      </c>
      <c r="R25" s="161">
        <f>SUM(F25:Q25)</f>
        <v>2079</v>
      </c>
      <c r="S25" s="165">
        <f>(R25/$R$11)</f>
        <v>0.006000600060006</v>
      </c>
    </row>
    <row r="26" ht="14.7" customHeight="1">
      <c r="A26" t="s" s="160">
        <v>162</v>
      </c>
      <c r="B26" s="159">
        <f>($B$11*$D26)</f>
        <v>2079</v>
      </c>
      <c r="C26" s="144"/>
      <c r="D26" s="164">
        <f>'Industry Averages'!C34</f>
        <v>0.006</v>
      </c>
      <c r="E26" s="144"/>
      <c r="F26" s="161">
        <f>($B$26/12)</f>
        <v>173.25</v>
      </c>
      <c r="G26" s="161">
        <f>($B$26/12)</f>
        <v>173.25</v>
      </c>
      <c r="H26" s="161">
        <f>($B$26/12)</f>
        <v>173.25</v>
      </c>
      <c r="I26" s="161">
        <f>($B$26/12)</f>
        <v>173.25</v>
      </c>
      <c r="J26" s="161">
        <f>($B$26/12)</f>
        <v>173.25</v>
      </c>
      <c r="K26" s="161">
        <f>($B$26/12)</f>
        <v>173.25</v>
      </c>
      <c r="L26" s="161">
        <f>($B$26/12)</f>
        <v>173.25</v>
      </c>
      <c r="M26" s="161">
        <f>($B$26/12)</f>
        <v>173.25</v>
      </c>
      <c r="N26" s="161">
        <f>($B$26/12)</f>
        <v>173.25</v>
      </c>
      <c r="O26" s="161">
        <f>($B$26/12)</f>
        <v>173.25</v>
      </c>
      <c r="P26" s="161">
        <f>($B$26/12)</f>
        <v>173.25</v>
      </c>
      <c r="Q26" s="161">
        <f>($B$26/12)</f>
        <v>173.25</v>
      </c>
      <c r="R26" s="161">
        <f>SUM(F26:Q26)</f>
        <v>2079</v>
      </c>
      <c r="S26" s="165">
        <f>(R26/$R$11)</f>
        <v>0.006000600060006</v>
      </c>
    </row>
    <row r="27" ht="14.7" customHeight="1">
      <c r="A27" t="s" s="160">
        <v>211</v>
      </c>
      <c r="B27" s="159">
        <f>($B$11*$D27)</f>
        <v>3465</v>
      </c>
      <c r="C27" s="144"/>
      <c r="D27" s="164">
        <f>'Industry Averages'!C35</f>
        <v>0.01</v>
      </c>
      <c r="E27" s="144"/>
      <c r="F27" s="161">
        <f>($B$27/12)</f>
        <v>288.75</v>
      </c>
      <c r="G27" s="161">
        <f>($B$27/12)</f>
        <v>288.75</v>
      </c>
      <c r="H27" s="161">
        <f>($B$27/12)</f>
        <v>288.75</v>
      </c>
      <c r="I27" s="161">
        <f>($B$27/12)</f>
        <v>288.75</v>
      </c>
      <c r="J27" s="161">
        <f>($B$27/12)</f>
        <v>288.75</v>
      </c>
      <c r="K27" s="161">
        <f>($B$27/12)</f>
        <v>288.75</v>
      </c>
      <c r="L27" s="161">
        <f>($B$27/12)</f>
        <v>288.75</v>
      </c>
      <c r="M27" s="161">
        <f>($B$27/12)</f>
        <v>288.75</v>
      </c>
      <c r="N27" s="161">
        <f>($B$27/12)</f>
        <v>288.75</v>
      </c>
      <c r="O27" s="161">
        <f>($B$27/12)</f>
        <v>288.75</v>
      </c>
      <c r="P27" s="161">
        <f>($B$27/12)</f>
        <v>288.75</v>
      </c>
      <c r="Q27" s="161">
        <f>($B$27/12)</f>
        <v>288.75</v>
      </c>
      <c r="R27" s="161">
        <f>SUM(F27:Q27)</f>
        <v>3465</v>
      </c>
      <c r="S27" s="165">
        <f>(R27/$R$11)</f>
        <v>0.01000100010001</v>
      </c>
    </row>
    <row r="28" ht="14.7" customHeight="1">
      <c r="A28" t="s" s="160">
        <v>212</v>
      </c>
      <c r="B28" s="159">
        <f>($B$11*$D28)</f>
        <v>2425.5</v>
      </c>
      <c r="C28" s="144"/>
      <c r="D28" s="164">
        <f>'Industry Averages'!C37</f>
        <v>0.007</v>
      </c>
      <c r="E28" s="144"/>
      <c r="F28" t="s" s="146">
        <v>2</v>
      </c>
      <c r="G28" s="161">
        <f>($B$28/2)</f>
        <v>1212.75</v>
      </c>
      <c r="H28" t="s" s="146">
        <v>2</v>
      </c>
      <c r="I28" t="s" s="146">
        <v>2</v>
      </c>
      <c r="J28" t="s" s="146">
        <v>2</v>
      </c>
      <c r="K28" t="s" s="146">
        <v>2</v>
      </c>
      <c r="L28" t="s" s="146">
        <v>2</v>
      </c>
      <c r="M28" t="s" s="146">
        <v>2</v>
      </c>
      <c r="N28" t="s" s="146">
        <v>2</v>
      </c>
      <c r="O28" s="161">
        <f>($B$28/2)</f>
        <v>1212.75</v>
      </c>
      <c r="P28" t="s" s="146">
        <v>2</v>
      </c>
      <c r="Q28" t="s" s="146">
        <v>2</v>
      </c>
      <c r="R28" s="161">
        <f>SUM(F28:Q28)</f>
        <v>2425.5</v>
      </c>
      <c r="S28" s="165">
        <f>(R28/$R$11)</f>
        <v>0.007000700070007</v>
      </c>
    </row>
    <row r="29" ht="14.7" customHeight="1">
      <c r="A29" t="s" s="160">
        <v>213</v>
      </c>
      <c r="B29" s="159">
        <f>($B$11*$D29)</f>
        <v>2079</v>
      </c>
      <c r="C29" s="144"/>
      <c r="D29" s="164">
        <f>'Industry Averages'!C38</f>
        <v>0.006</v>
      </c>
      <c r="E29" s="144"/>
      <c r="F29" t="s" s="146">
        <v>2</v>
      </c>
      <c r="G29" t="s" s="146">
        <v>2</v>
      </c>
      <c r="H29" t="s" s="146">
        <v>2</v>
      </c>
      <c r="I29" t="s" s="146">
        <v>2</v>
      </c>
      <c r="J29" s="161">
        <f>B29</f>
        <v>2079</v>
      </c>
      <c r="K29" t="s" s="146">
        <v>2</v>
      </c>
      <c r="L29" t="s" s="146">
        <v>2</v>
      </c>
      <c r="M29" t="s" s="146">
        <v>2</v>
      </c>
      <c r="N29" t="s" s="146">
        <v>2</v>
      </c>
      <c r="O29" t="s" s="146">
        <v>2</v>
      </c>
      <c r="P29" t="s" s="146">
        <v>2</v>
      </c>
      <c r="Q29" t="s" s="146">
        <v>2</v>
      </c>
      <c r="R29" s="161">
        <f>SUM(F29:Q29)</f>
        <v>2079</v>
      </c>
      <c r="S29" s="165">
        <f>(R29/$R$11)</f>
        <v>0.006000600060006</v>
      </c>
    </row>
    <row r="30" ht="14.7" customHeight="1">
      <c r="A30" t="s" s="160">
        <v>214</v>
      </c>
      <c r="B30" s="159">
        <f>($B$11*$D30)</f>
        <v>6930</v>
      </c>
      <c r="C30" s="144"/>
      <c r="D30" s="164">
        <f>'Industry Averages'!C40</f>
        <v>0.02</v>
      </c>
      <c r="E30" s="144"/>
      <c r="F30" s="161">
        <f>(F11*$D$30)</f>
        <v>475.398</v>
      </c>
      <c r="G30" s="161">
        <f>(G11*$D$30)</f>
        <v>478.17</v>
      </c>
      <c r="H30" s="161">
        <f>(H11*$D$30)</f>
        <v>520.443</v>
      </c>
      <c r="I30" s="161">
        <f>(I11*$D$30)</f>
        <v>456.687</v>
      </c>
      <c r="J30" s="161">
        <f>(J11*$D$30)</f>
        <v>627.165</v>
      </c>
      <c r="K30" s="161">
        <f>(K11*$D$30)</f>
        <v>529.452</v>
      </c>
      <c r="L30" s="161">
        <f>(L11*$D$30)</f>
        <v>557.865</v>
      </c>
      <c r="M30" s="161">
        <f>(M11*$D$30)</f>
        <v>572.418</v>
      </c>
      <c r="N30" s="161">
        <f>(N11*$D$30)</f>
        <v>521.829</v>
      </c>
      <c r="O30" s="161">
        <f>(O11*$D$30)</f>
        <v>531.5309999999999</v>
      </c>
      <c r="P30" s="161">
        <f>(P11*$D$30)</f>
        <v>602.217</v>
      </c>
      <c r="Q30" s="161">
        <f>(Q11*$D$30)</f>
        <v>1056.132</v>
      </c>
      <c r="R30" s="161">
        <f>SUM(F30:Q30)</f>
        <v>6929.307</v>
      </c>
      <c r="S30" s="165">
        <f>(R30/$R$11)</f>
        <v>0.02</v>
      </c>
    </row>
    <row r="31" ht="14.7" customHeight="1">
      <c r="A31" t="s" s="160">
        <v>175</v>
      </c>
      <c r="B31" s="159">
        <f>($B$11*$D31)</f>
        <v>1386</v>
      </c>
      <c r="C31" s="144"/>
      <c r="D31" s="164">
        <f>'Industry Averages'!C41</f>
        <v>0.004</v>
      </c>
      <c r="E31" s="144"/>
      <c r="F31" s="161">
        <f>($B$31/2)</f>
        <v>693</v>
      </c>
      <c r="G31" t="s" s="146">
        <v>2</v>
      </c>
      <c r="H31" t="s" s="146">
        <v>2</v>
      </c>
      <c r="I31" t="s" s="146">
        <v>2</v>
      </c>
      <c r="J31" t="s" s="146">
        <v>2</v>
      </c>
      <c r="K31" t="s" s="146">
        <v>2</v>
      </c>
      <c r="L31" s="161">
        <f>($B$31/2)</f>
        <v>693</v>
      </c>
      <c r="M31" t="s" s="146">
        <v>2</v>
      </c>
      <c r="N31" t="s" s="146">
        <v>2</v>
      </c>
      <c r="O31" t="s" s="146">
        <v>2</v>
      </c>
      <c r="P31" t="s" s="146">
        <v>2</v>
      </c>
      <c r="Q31" t="s" s="146">
        <v>2</v>
      </c>
      <c r="R31" s="161">
        <f>SUM(F31:Q31)</f>
        <v>1386</v>
      </c>
      <c r="S31" s="165">
        <f>(R31/$R$11)</f>
        <v>0.004000400040004</v>
      </c>
    </row>
    <row r="32" ht="14.7" customHeight="1">
      <c r="A32" t="s" s="160">
        <v>111</v>
      </c>
      <c r="B32" s="159">
        <f>($B$11*$D32)</f>
        <v>2079</v>
      </c>
      <c r="C32" s="144"/>
      <c r="D32" s="164">
        <f>'Industry Averages'!C42</f>
        <v>0.006</v>
      </c>
      <c r="E32" s="144"/>
      <c r="F32" t="s" s="146">
        <v>2</v>
      </c>
      <c r="G32" t="s" s="146">
        <v>2</v>
      </c>
      <c r="H32" s="161">
        <f>($B$32/3)</f>
        <v>693</v>
      </c>
      <c r="I32" t="s" s="146">
        <v>2</v>
      </c>
      <c r="J32" t="s" s="146">
        <v>2</v>
      </c>
      <c r="K32" s="161">
        <f>($B$32/3)</f>
        <v>693</v>
      </c>
      <c r="L32" t="s" s="146">
        <v>2</v>
      </c>
      <c r="M32" t="s" s="146">
        <v>2</v>
      </c>
      <c r="N32" t="s" s="146">
        <v>2</v>
      </c>
      <c r="O32" t="s" s="146">
        <v>2</v>
      </c>
      <c r="P32" s="161">
        <f>($B$32/3)</f>
        <v>693</v>
      </c>
      <c r="Q32" t="s" s="146">
        <v>2</v>
      </c>
      <c r="R32" s="161">
        <f>SUM(F32:Q32)</f>
        <v>2079</v>
      </c>
      <c r="S32" s="165">
        <f>(R32/$R$11)</f>
        <v>0.006000600060006</v>
      </c>
    </row>
    <row r="33" ht="14.7" customHeight="1">
      <c r="A33" t="s" s="160">
        <v>215</v>
      </c>
      <c r="B33" s="159">
        <f>($B$11*$D33)</f>
        <v>1039.5</v>
      </c>
      <c r="C33" s="144"/>
      <c r="D33" s="164">
        <f>'Industry Averages'!C43</f>
        <v>0.003</v>
      </c>
      <c r="E33" s="144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>
        <f>B33</f>
        <v>1039.5</v>
      </c>
      <c r="R33" s="161">
        <f>SUM(F33:Q33)</f>
        <v>1039.5</v>
      </c>
      <c r="S33" s="165">
        <f>(R33/$R$11)</f>
        <v>0.003000300030003</v>
      </c>
    </row>
    <row r="34" ht="14.7" customHeight="1">
      <c r="A34" t="s" s="160">
        <v>216</v>
      </c>
      <c r="B34" s="159">
        <f>($B$11*$D34)</f>
        <v>1039.5</v>
      </c>
      <c r="C34" s="144"/>
      <c r="D34" s="164">
        <f>'Industry Averages'!C44</f>
        <v>0.003</v>
      </c>
      <c r="E34" s="144"/>
      <c r="F34" s="161">
        <f>($B$34/12)</f>
        <v>86.625</v>
      </c>
      <c r="G34" s="161">
        <f>($B$34/12)</f>
        <v>86.625</v>
      </c>
      <c r="H34" s="161">
        <f>($B$34/12)</f>
        <v>86.625</v>
      </c>
      <c r="I34" s="161">
        <f>($B$34/12)</f>
        <v>86.625</v>
      </c>
      <c r="J34" s="161">
        <f>($B$34/12)</f>
        <v>86.625</v>
      </c>
      <c r="K34" s="161">
        <f>($B$34/12)</f>
        <v>86.625</v>
      </c>
      <c r="L34" s="161">
        <f>($B$34/12)</f>
        <v>86.625</v>
      </c>
      <c r="M34" s="161">
        <f>($B$34/12)</f>
        <v>86.625</v>
      </c>
      <c r="N34" s="161">
        <f>($B$34/12)</f>
        <v>86.625</v>
      </c>
      <c r="O34" s="161">
        <f>($B$34/12)</f>
        <v>86.625</v>
      </c>
      <c r="P34" s="161">
        <f>($B$34/12)</f>
        <v>86.625</v>
      </c>
      <c r="Q34" s="161">
        <f>($B$34/12)</f>
        <v>86.625</v>
      </c>
      <c r="R34" s="161">
        <f>SUM(F34:Q34)</f>
        <v>1039.5</v>
      </c>
      <c r="S34" s="165">
        <f>(R34/$R$11)</f>
        <v>0.003000300030003</v>
      </c>
    </row>
    <row r="35" ht="14.7" customHeight="1">
      <c r="A35" t="s" s="160">
        <v>115</v>
      </c>
      <c r="B35" s="159">
        <f>($B$11*$D35)</f>
        <v>1039.5</v>
      </c>
      <c r="C35" s="144"/>
      <c r="D35" s="164">
        <f>'Industry Averages'!C45</f>
        <v>0.003</v>
      </c>
      <c r="E35" s="144"/>
      <c r="F35" s="161">
        <f>($B$35/12)</f>
        <v>86.625</v>
      </c>
      <c r="G35" s="161">
        <f>($B$35/12)</f>
        <v>86.625</v>
      </c>
      <c r="H35" s="161">
        <f>($B$35/12)</f>
        <v>86.625</v>
      </c>
      <c r="I35" s="161">
        <f>($B$35/12)</f>
        <v>86.625</v>
      </c>
      <c r="J35" s="161">
        <f>($B$35/12)</f>
        <v>86.625</v>
      </c>
      <c r="K35" s="161">
        <f>($B$35/12)</f>
        <v>86.625</v>
      </c>
      <c r="L35" s="161">
        <f>($B$35/12)</f>
        <v>86.625</v>
      </c>
      <c r="M35" s="161">
        <f>($B$35/12)</f>
        <v>86.625</v>
      </c>
      <c r="N35" s="161">
        <f>($B$35/12)</f>
        <v>86.625</v>
      </c>
      <c r="O35" s="161">
        <f>($B$35/12)</f>
        <v>86.625</v>
      </c>
      <c r="P35" s="161">
        <f>($B$35/12)</f>
        <v>86.625</v>
      </c>
      <c r="Q35" s="161">
        <f>($B$35/12)</f>
        <v>86.625</v>
      </c>
      <c r="R35" s="161">
        <f>SUM(F35:Q35)</f>
        <v>1039.5</v>
      </c>
      <c r="S35" s="165">
        <f>(R35/$R$11)</f>
        <v>0.003000300030003</v>
      </c>
    </row>
    <row r="36" ht="14.7" customHeight="1">
      <c r="A36" t="s" s="160">
        <v>217</v>
      </c>
      <c r="B36" s="159">
        <f>($B$11*$D36)</f>
        <v>2079</v>
      </c>
      <c r="C36" s="144"/>
      <c r="D36" s="164">
        <f>'Industry Averages'!C46</f>
        <v>0.006</v>
      </c>
      <c r="E36" s="144"/>
      <c r="F36" s="161">
        <f>($B$36/12)</f>
        <v>173.25</v>
      </c>
      <c r="G36" s="161">
        <f>($B$36/12)</f>
        <v>173.25</v>
      </c>
      <c r="H36" s="161">
        <f>($B$36/12)</f>
        <v>173.25</v>
      </c>
      <c r="I36" s="161">
        <f>($B$36/12)</f>
        <v>173.25</v>
      </c>
      <c r="J36" s="161">
        <f>($B$36/12)</f>
        <v>173.25</v>
      </c>
      <c r="K36" s="161">
        <f>($B$36/12)</f>
        <v>173.25</v>
      </c>
      <c r="L36" s="161">
        <f>($B$36/12)</f>
        <v>173.25</v>
      </c>
      <c r="M36" s="161">
        <f>($B$36/12)</f>
        <v>173.25</v>
      </c>
      <c r="N36" s="161">
        <f>($B$36/12)</f>
        <v>173.25</v>
      </c>
      <c r="O36" s="161">
        <f>($B$36/12)</f>
        <v>173.25</v>
      </c>
      <c r="P36" s="161">
        <f>($B$36/12)</f>
        <v>173.25</v>
      </c>
      <c r="Q36" s="161">
        <f>($B$36/12)</f>
        <v>173.25</v>
      </c>
      <c r="R36" s="161">
        <f>SUM(F36:Q36)</f>
        <v>2079</v>
      </c>
      <c r="S36" s="165">
        <f>(R36/$R$11)</f>
        <v>0.006000600060006</v>
      </c>
    </row>
    <row r="37" ht="9" customHeight="1">
      <c r="A37" t="s" s="169">
        <v>2</v>
      </c>
      <c r="B37" s="159"/>
      <c r="C37" s="144"/>
      <c r="D37" s="144"/>
      <c r="E37" s="144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t="s" s="146">
        <v>2</v>
      </c>
      <c r="R37" s="161"/>
      <c r="S37" t="s" s="146">
        <v>2</v>
      </c>
    </row>
    <row r="38" ht="14.7" customHeight="1">
      <c r="A38" t="s" s="160">
        <v>234</v>
      </c>
      <c r="B38" s="159">
        <f>SUM(B18:B36)</f>
        <v>376129.5</v>
      </c>
      <c r="C38" s="144"/>
      <c r="D38" s="144"/>
      <c r="E38" s="144"/>
      <c r="F38" s="161">
        <f>SUM(F18:F37)</f>
        <v>28226.0478447489</v>
      </c>
      <c r="G38" s="161">
        <f>SUM(G18:G37)</f>
        <v>28031.4172146119</v>
      </c>
      <c r="H38" s="161">
        <f>SUM(H18:H37)</f>
        <v>29644.9653447489</v>
      </c>
      <c r="I38" s="161">
        <f>SUM(I18:I37)</f>
        <v>26676.4184680365</v>
      </c>
      <c r="J38" s="161">
        <f>SUM(J18:J37)</f>
        <v>34392.7083447489</v>
      </c>
      <c r="K38" s="161">
        <f>SUM(K18:K37)</f>
        <v>29661.5159680365</v>
      </c>
      <c r="L38" s="161">
        <f>SUM(L18:L37)</f>
        <v>30823.7583447489</v>
      </c>
      <c r="M38" s="161">
        <f>SUM(M18:M37)</f>
        <v>30589.1778447489</v>
      </c>
      <c r="N38" s="161">
        <f>SUM(N18:N37)</f>
        <v>28728.3914680365</v>
      </c>
      <c r="O38" s="161">
        <f>SUM(O18:O37)</f>
        <v>30513.9873447489</v>
      </c>
      <c r="P38" s="161">
        <f>SUM(P18:P37)</f>
        <v>31953.6134680365</v>
      </c>
      <c r="Q38" s="161">
        <f>SUM(Q18:Q37)</f>
        <v>46865.6688447489</v>
      </c>
      <c r="R38" s="161">
        <f>SUM(R18:R37)</f>
        <v>376107.6705</v>
      </c>
      <c r="S38" s="165">
        <f>(R38/$R$11)</f>
        <v>1.08555637814864</v>
      </c>
    </row>
    <row r="39" ht="14.7" customHeight="1">
      <c r="A39" s="153"/>
      <c r="B39" s="159"/>
      <c r="C39" s="144"/>
      <c r="D39" s="144"/>
      <c r="E39" s="144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</row>
    <row r="40" ht="14.7" customHeight="1">
      <c r="A40" t="s" s="170">
        <v>235</v>
      </c>
      <c r="B40" s="162">
        <f>(B15-B38)</f>
        <v>20370.5</v>
      </c>
      <c r="C40" s="171"/>
      <c r="D40" s="171"/>
      <c r="E40" s="171"/>
      <c r="F40" s="172">
        <f>(F11-F38)</f>
        <v>-4456.1478447489</v>
      </c>
      <c r="G40" s="172">
        <f>(G11-G38)</f>
        <v>-4122.9172146119</v>
      </c>
      <c r="H40" s="172">
        <f>(H11-H38)</f>
        <v>-3622.8153447489</v>
      </c>
      <c r="I40" s="172">
        <f>(I11-I38)</f>
        <v>-3842.0684680365</v>
      </c>
      <c r="J40" s="172">
        <f>(J11-J38)</f>
        <v>-3034.4583447489</v>
      </c>
      <c r="K40" s="172">
        <f>(K11-K38)</f>
        <v>-3188.9159680365</v>
      </c>
      <c r="L40" s="172">
        <f>(L11-L38)</f>
        <v>-2930.5083447489</v>
      </c>
      <c r="M40" s="172">
        <f>(M11-M38)</f>
        <v>-1968.2778447489</v>
      </c>
      <c r="N40" s="172">
        <f>(N11-N38)</f>
        <v>-2636.9414680365</v>
      </c>
      <c r="O40" s="172">
        <f>(O11-O38)</f>
        <v>-3937.4373447489</v>
      </c>
      <c r="P40" s="172">
        <f>(P11-P38)</f>
        <v>-1842.7634680365</v>
      </c>
      <c r="Q40" s="172">
        <f>(Q11-Q38)</f>
        <v>5940.9311552511</v>
      </c>
      <c r="R40" s="172">
        <f>SUM(F40:Q40)</f>
        <v>-29642.3205000002</v>
      </c>
      <c r="S40" s="173">
        <f>R40/R11</f>
        <v>-0.08555637814863799</v>
      </c>
    </row>
    <row r="41" ht="14.7" customHeight="1">
      <c r="A41" t="s" s="160">
        <v>219</v>
      </c>
      <c r="B41" s="159"/>
      <c r="C41" s="144"/>
      <c r="D41" s="144"/>
      <c r="E41" s="144"/>
      <c r="F41" s="161">
        <f>'Funding'!B15</f>
        <v>0</v>
      </c>
      <c r="G41" s="161">
        <f>$F$41</f>
        <v>0</v>
      </c>
      <c r="H41" s="161">
        <f>$F$41</f>
        <v>0</v>
      </c>
      <c r="I41" s="161">
        <f>$F$41</f>
        <v>0</v>
      </c>
      <c r="J41" s="161">
        <f>$F$41</f>
        <v>0</v>
      </c>
      <c r="K41" s="161">
        <f>$F$41</f>
        <v>0</v>
      </c>
      <c r="L41" s="161">
        <f>$F$41</f>
        <v>0</v>
      </c>
      <c r="M41" s="161">
        <f>$F$41</f>
        <v>0</v>
      </c>
      <c r="N41" s="161">
        <f>$F$41</f>
        <v>0</v>
      </c>
      <c r="O41" s="161">
        <f>$F$41</f>
        <v>0</v>
      </c>
      <c r="P41" s="161">
        <f>$F$41</f>
        <v>0</v>
      </c>
      <c r="Q41" s="161">
        <f>$F$41</f>
        <v>0</v>
      </c>
      <c r="R41" s="145"/>
      <c r="S41" s="145"/>
    </row>
    <row r="42" ht="14.7" customHeight="1">
      <c r="A42" t="s" s="160">
        <v>236</v>
      </c>
      <c r="B42" s="159"/>
      <c r="C42" s="144"/>
      <c r="D42" s="144"/>
      <c r="E42" s="144"/>
      <c r="F42" s="172">
        <f>(F40-F41)</f>
        <v>-4456.1478447489</v>
      </c>
      <c r="G42" s="172">
        <f>(G40-G41)</f>
        <v>-4122.9172146119</v>
      </c>
      <c r="H42" s="172">
        <f>(H40-H41)</f>
        <v>-3622.8153447489</v>
      </c>
      <c r="I42" s="172">
        <f>(I40-I41)</f>
        <v>-3842.0684680365</v>
      </c>
      <c r="J42" s="172">
        <f>(J40-J41)</f>
        <v>-3034.4583447489</v>
      </c>
      <c r="K42" s="172">
        <f>(K40-K41)</f>
        <v>-3188.9159680365</v>
      </c>
      <c r="L42" s="172">
        <f>(L40-L41)</f>
        <v>-2930.5083447489</v>
      </c>
      <c r="M42" s="172">
        <f>(M40-M41)</f>
        <v>-1968.2778447489</v>
      </c>
      <c r="N42" s="172">
        <f>(N40-N41)</f>
        <v>-2636.9414680365</v>
      </c>
      <c r="O42" s="172">
        <f>(O40-O41)</f>
        <v>-3937.4373447489</v>
      </c>
      <c r="P42" s="172">
        <f>(P40-P41)</f>
        <v>-1842.7634680365</v>
      </c>
      <c r="Q42" s="172">
        <f>(Q40-Q41)</f>
        <v>5940.9311552511</v>
      </c>
      <c r="R42" s="145"/>
      <c r="S42" s="145"/>
    </row>
    <row r="43" ht="14.7" customHeight="1">
      <c r="A43" t="s" s="148">
        <v>237</v>
      </c>
      <c r="B43" s="159"/>
      <c r="C43" s="144"/>
      <c r="D43" s="144"/>
      <c r="E43" s="144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87">
        <f>(B9+R40)</f>
        <v>20357.6794999998</v>
      </c>
      <c r="R43" s="145"/>
      <c r="S43" s="145"/>
    </row>
    <row r="44" ht="14.7" customHeight="1">
      <c r="A44" s="153"/>
      <c r="B44" s="159"/>
      <c r="C44" s="144"/>
      <c r="D44" s="144"/>
      <c r="E44" s="144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</row>
    <row r="45" ht="14.7" customHeight="1">
      <c r="A45" t="s" s="160">
        <v>221</v>
      </c>
      <c r="B45" s="159"/>
      <c r="C45" s="144"/>
      <c r="D45" t="s" s="167">
        <v>2</v>
      </c>
      <c r="E45" s="144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</row>
  </sheetData>
  <pageMargins left="0.5" right="0.5" top="0.5" bottom="0.5" header="0.25" footer="0.2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S45"/>
  <sheetViews>
    <sheetView workbookViewId="0" showGridLines="0" defaultGridColor="1"/>
  </sheetViews>
  <sheetFormatPr defaultColWidth="16.3333" defaultRowHeight="18" customHeight="1" outlineLevelRow="0" outlineLevelCol="0"/>
  <cols>
    <col min="1" max="1" width="20.3516" style="188" customWidth="1"/>
    <col min="2" max="2" width="13.1719" style="188" customWidth="1"/>
    <col min="3" max="3" width="4.35156" style="188" customWidth="1"/>
    <col min="4" max="4" width="9.85156" style="188" customWidth="1"/>
    <col min="5" max="5" width="2.17188" style="188" customWidth="1"/>
    <col min="6" max="7" width="10.5" style="188" customWidth="1"/>
    <col min="8" max="10" width="10.8516" style="188" customWidth="1"/>
    <col min="11" max="11" width="11" style="188" customWidth="1"/>
    <col min="12" max="12" width="10.8516" style="188" customWidth="1"/>
    <col min="13" max="13" width="8.67188" style="188" customWidth="1"/>
    <col min="14" max="14" width="12" style="188" customWidth="1"/>
    <col min="15" max="15" width="10.5" style="188" customWidth="1"/>
    <col min="16" max="16" width="11.8516" style="188" customWidth="1"/>
    <col min="17" max="17" width="8.67188" style="188" customWidth="1"/>
    <col min="18" max="18" width="9.85156" style="188" customWidth="1"/>
    <col min="19" max="19" width="10.5" style="188" customWidth="1"/>
    <col min="20" max="16384" width="16.3516" style="188" customWidth="1"/>
  </cols>
  <sheetData>
    <row r="1" ht="23.2" customHeight="1">
      <c r="A1" t="s" s="105">
        <v>226</v>
      </c>
      <c r="B1" s="8"/>
      <c r="C1" s="8"/>
      <c r="D1" s="8"/>
      <c r="E1" s="8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</row>
    <row r="2" ht="20.55" customHeight="1">
      <c r="A2" t="s" s="190">
        <v>224</v>
      </c>
      <c r="B2" t="s" s="191">
        <v>2</v>
      </c>
      <c r="C2" s="12"/>
      <c r="D2" s="12"/>
      <c r="E2" s="12"/>
      <c r="F2" s="192"/>
      <c r="G2" s="192"/>
      <c r="H2" t="s" s="193">
        <v>2</v>
      </c>
      <c r="I2" t="s" s="194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ht="20.35" customHeight="1">
      <c r="A3" t="s" s="111">
        <v>2</v>
      </c>
      <c r="B3" s="20"/>
      <c r="C3" s="15"/>
      <c r="D3" s="15"/>
      <c r="E3" s="15"/>
      <c r="F3" s="195"/>
      <c r="G3" s="195"/>
      <c r="H3" s="196"/>
      <c r="I3" t="s" s="114">
        <v>2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ht="20.35" customHeight="1">
      <c r="A4" t="s" s="197">
        <v>185</v>
      </c>
      <c r="B4" s="198">
        <f>'Assumptions'!B17</f>
        <v>1400</v>
      </c>
      <c r="C4" s="199"/>
      <c r="D4" s="199"/>
      <c r="E4" s="18"/>
      <c r="F4" s="200"/>
      <c r="G4" s="200"/>
      <c r="H4" s="18"/>
      <c r="I4" s="18"/>
      <c r="J4" s="200"/>
      <c r="K4" s="200"/>
      <c r="L4" s="200"/>
      <c r="M4" s="200"/>
      <c r="N4" s="200"/>
      <c r="O4" s="200"/>
      <c r="P4" s="200"/>
      <c r="Q4" s="200"/>
      <c r="R4" s="200"/>
      <c r="S4" s="200"/>
    </row>
    <row r="5" ht="20.35" customHeight="1">
      <c r="A5" t="s" s="197">
        <v>186</v>
      </c>
      <c r="B5" s="201">
        <f>'Assumptions'!B20</f>
        <v>1260</v>
      </c>
      <c r="C5" s="202"/>
      <c r="D5" s="203">
        <v>1</v>
      </c>
      <c r="E5" s="1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</row>
    <row r="6" ht="20.35" customHeight="1">
      <c r="A6" s="17"/>
      <c r="B6" s="115"/>
      <c r="C6" s="18"/>
      <c r="D6" s="18"/>
      <c r="E6" s="18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18"/>
    </row>
    <row r="7" ht="20.35" customHeight="1">
      <c r="A7" t="s" s="204">
        <v>2</v>
      </c>
      <c r="B7" t="s" s="205">
        <v>2</v>
      </c>
      <c r="C7" s="15"/>
      <c r="D7" t="s" s="206">
        <v>187</v>
      </c>
      <c r="E7" s="15"/>
      <c r="F7" t="s" s="62">
        <v>188</v>
      </c>
      <c r="G7" t="s" s="62">
        <v>189</v>
      </c>
      <c r="H7" t="s" s="62">
        <v>190</v>
      </c>
      <c r="I7" t="s" s="62">
        <v>191</v>
      </c>
      <c r="J7" t="s" s="62">
        <v>192</v>
      </c>
      <c r="K7" t="s" s="62">
        <v>193</v>
      </c>
      <c r="L7" t="s" s="62">
        <v>194</v>
      </c>
      <c r="M7" t="s" s="62">
        <v>195</v>
      </c>
      <c r="N7" t="s" s="62">
        <v>196</v>
      </c>
      <c r="O7" t="s" s="62">
        <v>197</v>
      </c>
      <c r="P7" t="s" s="62">
        <v>198</v>
      </c>
      <c r="Q7" t="s" s="62">
        <v>199</v>
      </c>
      <c r="R7" t="s" s="62">
        <v>180</v>
      </c>
      <c r="S7" t="s" s="62">
        <v>200</v>
      </c>
    </row>
    <row r="8" ht="20.35" customHeight="1">
      <c r="A8" s="17"/>
      <c r="B8" s="58"/>
      <c r="C8" s="18"/>
      <c r="D8" t="s" s="59">
        <v>201</v>
      </c>
      <c r="E8" s="207"/>
      <c r="F8" t="s" s="60">
        <v>2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t="s" s="60">
        <v>2</v>
      </c>
      <c r="S8" t="s" s="59">
        <v>202</v>
      </c>
    </row>
    <row r="9" ht="20.35" customHeight="1">
      <c r="A9" t="s" s="13">
        <v>228</v>
      </c>
      <c r="B9" s="208">
        <f>'Cash Flow Year 1'!Q43</f>
        <v>20357.6794999998</v>
      </c>
      <c r="C9" s="15"/>
      <c r="D9" s="15"/>
      <c r="E9" s="15"/>
      <c r="F9" s="209">
        <f>B9</f>
        <v>20357.6794999998</v>
      </c>
      <c r="G9" s="210">
        <f>(F9+F40)</f>
        <v>19155.7875388126</v>
      </c>
      <c r="H9" s="210">
        <f>(G9+G40)</f>
        <v>18048.9332351596</v>
      </c>
      <c r="I9" s="210">
        <f>(H9+H40)</f>
        <v>17871.8150239724</v>
      </c>
      <c r="J9" s="210">
        <f>(I9+I40)</f>
        <v>17278.6560319633</v>
      </c>
      <c r="K9" s="210">
        <f>(J9+J40)</f>
        <v>17891.4633207761</v>
      </c>
      <c r="L9" s="210">
        <f>(K9+K40)</f>
        <v>18134.708078767</v>
      </c>
      <c r="M9" s="210">
        <f>(L9+L40)</f>
        <v>18808.9403675798</v>
      </c>
      <c r="N9" s="210">
        <f>(M9+M40)</f>
        <v>20633.2534063926</v>
      </c>
      <c r="O9" s="210">
        <f>(N9+N40)</f>
        <v>21522.0749143835</v>
      </c>
      <c r="P9" s="210">
        <f>(O9+O40)</f>
        <v>20982.9587031963</v>
      </c>
      <c r="Q9" s="210">
        <f>(P9+P40)</f>
        <v>22881.6072111872</v>
      </c>
      <c r="R9" s="132"/>
      <c r="S9" s="132"/>
    </row>
    <row r="10" ht="20.35" customHeight="1">
      <c r="A10" s="17"/>
      <c r="B10" s="29"/>
      <c r="C10" s="18"/>
      <c r="D10" s="18"/>
      <c r="E10" s="18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</row>
    <row r="11" ht="20.35" customHeight="1">
      <c r="A11" t="s" s="24">
        <v>229</v>
      </c>
      <c r="B11" s="27">
        <f>(B5*B12)</f>
        <v>409500</v>
      </c>
      <c r="C11" s="15"/>
      <c r="D11" s="15"/>
      <c r="E11" s="15"/>
      <c r="F11" s="211">
        <f>($B$11*F13)</f>
        <v>28091.7</v>
      </c>
      <c r="G11" s="211">
        <f>($B$11*G13)</f>
        <v>28255.5</v>
      </c>
      <c r="H11" s="211">
        <f>($B$11*H13)</f>
        <v>30753.45</v>
      </c>
      <c r="I11" s="211">
        <f>($B$11*I13)</f>
        <v>26986.05</v>
      </c>
      <c r="J11" s="211">
        <f>($B$11*J13)</f>
        <v>37059.75</v>
      </c>
      <c r="K11" s="211">
        <f>($B$11*K13)</f>
        <v>31285.8</v>
      </c>
      <c r="L11" s="211">
        <f>($B$11*L13)</f>
        <v>32964.75</v>
      </c>
      <c r="M11" s="211">
        <f>($B$11*M13)</f>
        <v>33824.7</v>
      </c>
      <c r="N11" s="211">
        <f>($B$11*N13)</f>
        <v>30835.35</v>
      </c>
      <c r="O11" s="211">
        <f>($B$11*O13)</f>
        <v>31408.65</v>
      </c>
      <c r="P11" s="211">
        <f>($B$11*P13)</f>
        <v>35585.55</v>
      </c>
      <c r="Q11" s="211">
        <f>($B$11*Q13)</f>
        <v>62407.8</v>
      </c>
      <c r="R11" s="211">
        <f>SUM(F11:Q11)</f>
        <v>409459.05</v>
      </c>
      <c r="S11" s="211"/>
    </row>
    <row r="12" ht="20.35" customHeight="1">
      <c r="A12" t="s" s="197">
        <v>238</v>
      </c>
      <c r="B12" s="212">
        <f>'Assumptions'!C40</f>
        <v>325</v>
      </c>
      <c r="C12" s="18"/>
      <c r="D12" s="18"/>
      <c r="E12" s="18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t="s" s="213">
        <v>2</v>
      </c>
      <c r="S12" s="200"/>
    </row>
    <row r="13" ht="20.35" customHeight="1">
      <c r="A13" t="s" s="111">
        <v>205</v>
      </c>
      <c r="B13" s="27"/>
      <c r="C13" s="15"/>
      <c r="D13" s="214">
        <f>SUM(E13:Q13)</f>
        <v>0.9999</v>
      </c>
      <c r="E13" s="215"/>
      <c r="F13" s="216">
        <v>0.06859999999999999</v>
      </c>
      <c r="G13" s="216">
        <v>0.06900000000000001</v>
      </c>
      <c r="H13" s="216">
        <v>0.0751</v>
      </c>
      <c r="I13" s="216">
        <v>0.0659</v>
      </c>
      <c r="J13" s="216">
        <v>0.0905</v>
      </c>
      <c r="K13" s="216">
        <v>0.0764</v>
      </c>
      <c r="L13" s="216">
        <v>0.0805</v>
      </c>
      <c r="M13" s="216">
        <v>0.08260000000000001</v>
      </c>
      <c r="N13" s="216">
        <v>0.07530000000000001</v>
      </c>
      <c r="O13" s="216">
        <v>0.0767</v>
      </c>
      <c r="P13" s="216">
        <v>0.08690000000000001</v>
      </c>
      <c r="Q13" s="216">
        <v>0.1524</v>
      </c>
      <c r="R13" s="217">
        <f>SUM(F13:Q13)</f>
        <v>0.9999</v>
      </c>
      <c r="S13" s="217"/>
    </row>
    <row r="14" ht="20.35" customHeight="1">
      <c r="A14" s="17"/>
      <c r="B14" s="29"/>
      <c r="C14" s="18"/>
      <c r="D14" s="18"/>
      <c r="E14" s="18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t="s" s="213">
        <v>2</v>
      </c>
      <c r="S14" s="200"/>
    </row>
    <row r="15" ht="20.35" customHeight="1">
      <c r="A15" t="s" s="24">
        <v>230</v>
      </c>
      <c r="B15" s="27">
        <f>(B9+B11)</f>
        <v>429857.6795</v>
      </c>
      <c r="C15" s="15"/>
      <c r="D15" s="15"/>
      <c r="E15" s="15"/>
      <c r="F15" s="211">
        <f>(F9+F11)</f>
        <v>48449.3794999998</v>
      </c>
      <c r="G15" s="211">
        <f>(G9+G11)</f>
        <v>47411.2875388126</v>
      </c>
      <c r="H15" s="211">
        <f>(H9+H11)</f>
        <v>48802.3832351596</v>
      </c>
      <c r="I15" s="211">
        <f>(I9+I11)</f>
        <v>44857.8650239724</v>
      </c>
      <c r="J15" s="211">
        <f>(J9+J11)</f>
        <v>54338.4060319633</v>
      </c>
      <c r="K15" s="211">
        <f>(K9+K11)</f>
        <v>49177.2633207761</v>
      </c>
      <c r="L15" s="211">
        <f>(L9+L11)</f>
        <v>51099.458078767</v>
      </c>
      <c r="M15" s="211">
        <f>(M9+M11)</f>
        <v>52633.6403675798</v>
      </c>
      <c r="N15" s="211">
        <f>(N9+N11)</f>
        <v>51468.6034063926</v>
      </c>
      <c r="O15" s="211">
        <f>(O9+O11)</f>
        <v>52930.7249143835</v>
      </c>
      <c r="P15" s="211">
        <f>(P9+P11)</f>
        <v>56568.5087031963</v>
      </c>
      <c r="Q15" s="211">
        <f>(Q9+Q11)</f>
        <v>85289.407211187194</v>
      </c>
      <c r="R15" s="211">
        <f>SUM(F15:Q15)</f>
        <v>643026.92733219</v>
      </c>
      <c r="S15" t="s" s="218">
        <v>2</v>
      </c>
    </row>
    <row r="16" ht="20.35" customHeight="1">
      <c r="A16" s="17"/>
      <c r="B16" s="29"/>
      <c r="C16" s="18"/>
      <c r="D16" s="18"/>
      <c r="E16" s="18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t="s" s="213">
        <v>2</v>
      </c>
      <c r="S16" s="200"/>
    </row>
    <row r="17" ht="20.35" customHeight="1">
      <c r="A17" t="s" s="24">
        <v>231</v>
      </c>
      <c r="B17" s="27"/>
      <c r="C17" s="15"/>
      <c r="D17" s="215"/>
      <c r="E17" s="15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t="s" s="218">
        <v>2</v>
      </c>
      <c r="S17" s="195"/>
    </row>
    <row r="18" ht="20.35" customHeight="1">
      <c r="A18" t="s" s="24">
        <v>232</v>
      </c>
      <c r="B18" s="29">
        <f>($D$18*B11)</f>
        <v>233415</v>
      </c>
      <c r="C18" s="18"/>
      <c r="D18" s="219">
        <f>'Assumptions'!C46</f>
        <v>0.57</v>
      </c>
      <c r="E18" t="s" s="19">
        <v>165</v>
      </c>
      <c r="F18" s="220">
        <f>(F11*$D$18)</f>
        <v>16012.269</v>
      </c>
      <c r="G18" s="220">
        <f>(G11*$D$18)</f>
        <v>16105.635</v>
      </c>
      <c r="H18" s="220">
        <f>(H11*$D$18)</f>
        <v>17529.4665</v>
      </c>
      <c r="I18" s="220">
        <f>(I11*$D$18)</f>
        <v>15382.0485</v>
      </c>
      <c r="J18" s="220">
        <f>(J11*$D$18)</f>
        <v>21124.0575</v>
      </c>
      <c r="K18" s="220">
        <f>(K11*$D$18)</f>
        <v>17832.906</v>
      </c>
      <c r="L18" s="220">
        <f>(L11*$D$18)</f>
        <v>18789.9075</v>
      </c>
      <c r="M18" s="220">
        <f>(M11*$D$18)</f>
        <v>19280.079</v>
      </c>
      <c r="N18" s="220">
        <f>(N11*$D$18)</f>
        <v>17576.1495</v>
      </c>
      <c r="O18" s="220">
        <f>(O11*$D$18)</f>
        <v>17902.9305</v>
      </c>
      <c r="P18" s="220">
        <f>(P11*$D$18)</f>
        <v>20283.7635</v>
      </c>
      <c r="Q18" s="220">
        <f>(Q11*$D$18)</f>
        <v>35572.446</v>
      </c>
      <c r="R18" s="220">
        <f>SUM(F18:Q18)</f>
        <v>233391.6585</v>
      </c>
      <c r="S18" s="221">
        <f>(R18/$R$11)</f>
        <v>0.57</v>
      </c>
    </row>
    <row r="19" ht="20.35" customHeight="1">
      <c r="A19" s="17"/>
      <c r="B19" s="27"/>
      <c r="C19" s="15"/>
      <c r="D19" t="s" s="222">
        <v>2</v>
      </c>
      <c r="E19" s="1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t="s" s="218">
        <v>2</v>
      </c>
      <c r="S19" t="s" s="218">
        <v>2</v>
      </c>
    </row>
    <row r="20" ht="20.35" customHeight="1">
      <c r="A20" t="s" s="223">
        <v>233</v>
      </c>
      <c r="B20" s="29"/>
      <c r="C20" s="18"/>
      <c r="D20" s="18"/>
      <c r="E20" s="18"/>
      <c r="F20" t="s" s="213">
        <v>2</v>
      </c>
      <c r="G20" t="s" s="213">
        <v>2</v>
      </c>
      <c r="H20" t="s" s="213">
        <v>2</v>
      </c>
      <c r="I20" t="s" s="213">
        <v>2</v>
      </c>
      <c r="J20" t="s" s="213">
        <v>2</v>
      </c>
      <c r="K20" t="s" s="213">
        <v>2</v>
      </c>
      <c r="L20" t="s" s="213">
        <v>2</v>
      </c>
      <c r="M20" t="s" s="213">
        <v>2</v>
      </c>
      <c r="N20" t="s" s="213">
        <v>2</v>
      </c>
      <c r="O20" t="s" s="213">
        <v>2</v>
      </c>
      <c r="P20" t="s" s="213">
        <v>2</v>
      </c>
      <c r="Q20" t="s" s="213">
        <v>2</v>
      </c>
      <c r="R20" t="s" s="213">
        <v>2</v>
      </c>
      <c r="S20" t="s" s="213">
        <v>2</v>
      </c>
    </row>
    <row r="21" ht="20.35" customHeight="1">
      <c r="A21" t="s" s="24">
        <v>208</v>
      </c>
      <c r="B21" s="27">
        <f>(B11*D21)</f>
        <v>78624</v>
      </c>
      <c r="C21" s="15"/>
      <c r="D21" s="215">
        <f>'Industry Averages'!C23</f>
        <v>0.192</v>
      </c>
      <c r="E21" s="15"/>
      <c r="F21" s="211">
        <f>'Proforma P&amp;L Year 2'!F17</f>
        <v>6677.654794520550</v>
      </c>
      <c r="G21" s="211">
        <f>'Proforma P&amp;L Year 2'!G17</f>
        <v>6031.4301369863</v>
      </c>
      <c r="H21" s="211">
        <f>'Proforma P&amp;L Year 2'!H17</f>
        <v>6677.654794520550</v>
      </c>
      <c r="I21" s="211">
        <f>'Proforma P&amp;L Year 2'!I17</f>
        <v>6462.246575342470</v>
      </c>
      <c r="J21" s="211">
        <f>'Proforma P&amp;L Year 2'!J17</f>
        <v>6677.654794520550</v>
      </c>
      <c r="K21" s="211">
        <f>'Proforma P&amp;L Year 2'!K17</f>
        <v>6462.246575342470</v>
      </c>
      <c r="L21" s="211">
        <f>'Proforma P&amp;L Year 2'!L17</f>
        <v>6677.654794520550</v>
      </c>
      <c r="M21" s="211">
        <f>'Proforma P&amp;L Year 2'!M17</f>
        <v>6677.654794520550</v>
      </c>
      <c r="N21" s="211">
        <f>'Proforma P&amp;L Year 2'!N17</f>
        <v>6462.246575342470</v>
      </c>
      <c r="O21" s="211">
        <f>'Proforma P&amp;L Year 2'!O17</f>
        <v>6677.654794520550</v>
      </c>
      <c r="P21" s="211">
        <f>'Proforma P&amp;L Year 2'!P17</f>
        <v>6462.246575342470</v>
      </c>
      <c r="Q21" s="211">
        <f>'Proforma P&amp;L Year 2'!Q17</f>
        <v>6677.654794520550</v>
      </c>
      <c r="R21" s="211">
        <f>SUM(F21:Q21)</f>
        <v>78624</v>
      </c>
      <c r="S21" s="216">
        <f>(R21/$R$11)</f>
        <v>0.192019201920192</v>
      </c>
    </row>
    <row r="22" ht="14.35" customHeight="1">
      <c r="A22" t="s" s="24">
        <v>86</v>
      </c>
      <c r="B22" s="224">
        <f>'Assumptions'!B26</f>
        <v>35000</v>
      </c>
      <c r="C22" s="199"/>
      <c r="D22" s="219">
        <f>'Industry Averages'!C25</f>
        <v>0.074</v>
      </c>
      <c r="E22" t="s" s="225">
        <v>165</v>
      </c>
      <c r="F22" s="226">
        <f>($B$22/12)</f>
        <v>2916.666666666670</v>
      </c>
      <c r="G22" s="226">
        <f>($B$22/12)</f>
        <v>2916.666666666670</v>
      </c>
      <c r="H22" s="226">
        <f>($B$22/12)</f>
        <v>2916.666666666670</v>
      </c>
      <c r="I22" s="226">
        <f>($B$22/12)</f>
        <v>2916.666666666670</v>
      </c>
      <c r="J22" s="226">
        <f>($B$22/12)</f>
        <v>2916.666666666670</v>
      </c>
      <c r="K22" s="226">
        <f>($B$22/12)</f>
        <v>2916.666666666670</v>
      </c>
      <c r="L22" s="226">
        <f>($B$22/12)</f>
        <v>2916.666666666670</v>
      </c>
      <c r="M22" s="226">
        <f>($B$22/12)</f>
        <v>2916.666666666670</v>
      </c>
      <c r="N22" s="226">
        <f>($B$22/12)</f>
        <v>2916.666666666670</v>
      </c>
      <c r="O22" s="226">
        <f>($B$22/12)</f>
        <v>2916.666666666670</v>
      </c>
      <c r="P22" s="226">
        <f>($B$22/12)</f>
        <v>2916.666666666670</v>
      </c>
      <c r="Q22" s="226">
        <f>($B$22/12)</f>
        <v>2916.666666666670</v>
      </c>
      <c r="R22" s="226">
        <f>SUM(F22:Q22)</f>
        <v>35000</v>
      </c>
      <c r="S22" s="227">
        <f>(R22/$R$11)</f>
        <v>0.0854786333334188</v>
      </c>
    </row>
    <row r="23" ht="20.35" customHeight="1">
      <c r="A23" t="s" s="24">
        <v>239</v>
      </c>
      <c r="B23" s="27">
        <f>($B$11*$D23)</f>
        <v>5323.5</v>
      </c>
      <c r="C23" s="15"/>
      <c r="D23" s="228">
        <f>'Industry Averages'!C26+'Industry Averages'!C27+'Industry Averages'!C28</f>
        <v>0.013</v>
      </c>
      <c r="E23" s="15"/>
      <c r="F23" s="211">
        <f>($B$23/12)</f>
        <v>443.625</v>
      </c>
      <c r="G23" s="211">
        <f>($B$23/12)</f>
        <v>443.625</v>
      </c>
      <c r="H23" s="211">
        <f>($B$23/12)</f>
        <v>443.625</v>
      </c>
      <c r="I23" s="211">
        <f>($B$23/12)</f>
        <v>443.625</v>
      </c>
      <c r="J23" s="211">
        <f>($B$23/12)</f>
        <v>443.625</v>
      </c>
      <c r="K23" s="211">
        <f>($B$23/12)</f>
        <v>443.625</v>
      </c>
      <c r="L23" s="211">
        <f>($B$23/12)</f>
        <v>443.625</v>
      </c>
      <c r="M23" s="211">
        <f>($B$23/12)</f>
        <v>443.625</v>
      </c>
      <c r="N23" s="211">
        <f>($B$23/12)</f>
        <v>443.625</v>
      </c>
      <c r="O23" s="211">
        <f>($B$23/12)</f>
        <v>443.625</v>
      </c>
      <c r="P23" s="211">
        <f>($B$23/12)</f>
        <v>443.625</v>
      </c>
      <c r="Q23" s="211">
        <f>($B$23/12)</f>
        <v>443.625</v>
      </c>
      <c r="R23" s="211">
        <f>SUM(F23:Q23)</f>
        <v>5323.5</v>
      </c>
      <c r="S23" s="216">
        <f>(R23/$R$11)</f>
        <v>0.013001300130013</v>
      </c>
    </row>
    <row r="24" ht="20.35" customHeight="1">
      <c r="A24" t="s" s="24">
        <v>210</v>
      </c>
      <c r="B24" s="29">
        <f>($B$11*$D24)</f>
        <v>10237.5</v>
      </c>
      <c r="C24" s="18"/>
      <c r="D24" s="219">
        <f>'Assumptions'!C51</f>
        <v>0.025</v>
      </c>
      <c r="E24" t="s" s="19">
        <v>165</v>
      </c>
      <c r="F24" s="220">
        <f>(F11*$D$24)</f>
        <v>702.2925</v>
      </c>
      <c r="G24" s="220">
        <f>(G11*$D$24)</f>
        <v>706.3875</v>
      </c>
      <c r="H24" s="220">
        <f>(H11*$D$24)</f>
        <v>768.8362499999999</v>
      </c>
      <c r="I24" s="220">
        <f>(I11*$D$24)</f>
        <v>674.65125</v>
      </c>
      <c r="J24" s="220">
        <f>(J11*$D$24)</f>
        <v>926.49375</v>
      </c>
      <c r="K24" s="220">
        <f>(K11*$D$24)</f>
        <v>782.145</v>
      </c>
      <c r="L24" s="220">
        <f>(L11*$D$24)</f>
        <v>824.11875</v>
      </c>
      <c r="M24" s="220">
        <f>(M11*$D$24)</f>
        <v>845.6174999999999</v>
      </c>
      <c r="N24" s="220">
        <f>(N11*$D$24)</f>
        <v>770.88375</v>
      </c>
      <c r="O24" s="220">
        <f>(O11*$D$24)</f>
        <v>785.2162499999999</v>
      </c>
      <c r="P24" s="220">
        <f>(P11*$D$24)</f>
        <v>889.63875</v>
      </c>
      <c r="Q24" s="220">
        <f>(Q11*$D$24)</f>
        <v>1560.195</v>
      </c>
      <c r="R24" s="220">
        <f>SUM(F24:Q24)</f>
        <v>10236.47625</v>
      </c>
      <c r="S24" s="221">
        <f>(R24/$R$11)</f>
        <v>0.025</v>
      </c>
    </row>
    <row r="25" ht="20.35" customHeight="1">
      <c r="A25" t="s" s="24">
        <v>95</v>
      </c>
      <c r="B25" s="27">
        <f>($B$11*$D25)</f>
        <v>2457</v>
      </c>
      <c r="C25" s="15"/>
      <c r="D25" s="215">
        <f>'Industry Averages'!C33</f>
        <v>0.006</v>
      </c>
      <c r="E25" s="15"/>
      <c r="F25" s="211">
        <f>($B$25/12)</f>
        <v>204.75</v>
      </c>
      <c r="G25" s="211">
        <f>($B$25/12)</f>
        <v>204.75</v>
      </c>
      <c r="H25" s="211">
        <f>($B$25/12)</f>
        <v>204.75</v>
      </c>
      <c r="I25" s="211">
        <f>($B$25/12)</f>
        <v>204.75</v>
      </c>
      <c r="J25" s="211">
        <f>($B$25/12)</f>
        <v>204.75</v>
      </c>
      <c r="K25" s="211">
        <f>($B$25/12)</f>
        <v>204.75</v>
      </c>
      <c r="L25" s="211">
        <f>($B$25/12)</f>
        <v>204.75</v>
      </c>
      <c r="M25" s="211">
        <f>($B$25/12)</f>
        <v>204.75</v>
      </c>
      <c r="N25" s="211">
        <f>($B$25/12)</f>
        <v>204.75</v>
      </c>
      <c r="O25" s="211">
        <f>($B$25/12)</f>
        <v>204.75</v>
      </c>
      <c r="P25" s="211">
        <f>($B$25/12)</f>
        <v>204.75</v>
      </c>
      <c r="Q25" s="211">
        <f>($B$25/12)</f>
        <v>204.75</v>
      </c>
      <c r="R25" s="211">
        <f>SUM(F25:Q25)</f>
        <v>2457</v>
      </c>
      <c r="S25" s="216">
        <f>(R25/$R$11)</f>
        <v>0.006000600060006</v>
      </c>
    </row>
    <row r="26" ht="20.35" customHeight="1">
      <c r="A26" t="s" s="24">
        <v>162</v>
      </c>
      <c r="B26" s="29">
        <f>($B$11*$D26)</f>
        <v>2457</v>
      </c>
      <c r="C26" s="18"/>
      <c r="D26" s="229">
        <f>'Industry Averages'!C34</f>
        <v>0.006</v>
      </c>
      <c r="E26" s="18"/>
      <c r="F26" s="220">
        <f>($B$26/12)</f>
        <v>204.75</v>
      </c>
      <c r="G26" s="220">
        <f>($B$26/12)</f>
        <v>204.75</v>
      </c>
      <c r="H26" s="220">
        <f>($B$26/12)</f>
        <v>204.75</v>
      </c>
      <c r="I26" s="220">
        <f>($B$26/12)</f>
        <v>204.75</v>
      </c>
      <c r="J26" s="220">
        <f>($B$26/12)</f>
        <v>204.75</v>
      </c>
      <c r="K26" s="220">
        <f>($B$26/12)</f>
        <v>204.75</v>
      </c>
      <c r="L26" s="220">
        <f>($B$26/12)</f>
        <v>204.75</v>
      </c>
      <c r="M26" s="220">
        <f>($B$26/12)</f>
        <v>204.75</v>
      </c>
      <c r="N26" s="220">
        <f>($B$26/12)</f>
        <v>204.75</v>
      </c>
      <c r="O26" s="220">
        <f>($B$26/12)</f>
        <v>204.75</v>
      </c>
      <c r="P26" s="220">
        <f>($B$26/12)</f>
        <v>204.75</v>
      </c>
      <c r="Q26" s="220">
        <f>($B$26/12)</f>
        <v>204.75</v>
      </c>
      <c r="R26" s="220">
        <f>SUM(F26:Q26)</f>
        <v>2457</v>
      </c>
      <c r="S26" s="221">
        <f>(R26/$R$11)</f>
        <v>0.006000600060006</v>
      </c>
    </row>
    <row r="27" ht="20.35" customHeight="1">
      <c r="A27" t="s" s="24">
        <v>211</v>
      </c>
      <c r="B27" s="27">
        <f>($B$11*$D27)</f>
        <v>4095</v>
      </c>
      <c r="C27" s="15"/>
      <c r="D27" s="215">
        <f>'Industry Averages'!C35</f>
        <v>0.01</v>
      </c>
      <c r="E27" s="15"/>
      <c r="F27" s="211">
        <f>($B$27/12)</f>
        <v>341.25</v>
      </c>
      <c r="G27" s="211">
        <f>($B$27/12)</f>
        <v>341.25</v>
      </c>
      <c r="H27" s="211">
        <f>($B$27/12)</f>
        <v>341.25</v>
      </c>
      <c r="I27" s="211">
        <f>($B$27/12)</f>
        <v>341.25</v>
      </c>
      <c r="J27" s="211">
        <f>($B$27/12)</f>
        <v>341.25</v>
      </c>
      <c r="K27" s="211">
        <f>($B$27/12)</f>
        <v>341.25</v>
      </c>
      <c r="L27" s="211">
        <f>($B$27/12)</f>
        <v>341.25</v>
      </c>
      <c r="M27" s="211">
        <f>($B$27/12)</f>
        <v>341.25</v>
      </c>
      <c r="N27" s="211">
        <f>($B$27/12)</f>
        <v>341.25</v>
      </c>
      <c r="O27" s="211">
        <f>($B$27/12)</f>
        <v>341.25</v>
      </c>
      <c r="P27" s="211">
        <f>($B$27/12)</f>
        <v>341.25</v>
      </c>
      <c r="Q27" s="211">
        <f>($B$27/12)</f>
        <v>341.25</v>
      </c>
      <c r="R27" s="211">
        <f>SUM(F27:Q27)</f>
        <v>4095</v>
      </c>
      <c r="S27" s="216">
        <f>(R27/$R$11)</f>
        <v>0.01000100010001</v>
      </c>
    </row>
    <row r="28" ht="20.35" customHeight="1">
      <c r="A28" t="s" s="24">
        <v>212</v>
      </c>
      <c r="B28" s="29">
        <f>($B$11*$D28)</f>
        <v>2866.5</v>
      </c>
      <c r="C28" s="18"/>
      <c r="D28" s="229">
        <f>'Industry Averages'!C37</f>
        <v>0.007</v>
      </c>
      <c r="E28" s="18"/>
      <c r="F28" t="s" s="213">
        <v>2</v>
      </c>
      <c r="G28" s="220">
        <f>($B$28/2)</f>
        <v>1433.25</v>
      </c>
      <c r="H28" t="s" s="213">
        <v>2</v>
      </c>
      <c r="I28" t="s" s="213">
        <v>2</v>
      </c>
      <c r="J28" t="s" s="213">
        <v>2</v>
      </c>
      <c r="K28" t="s" s="213">
        <v>2</v>
      </c>
      <c r="L28" t="s" s="213">
        <v>2</v>
      </c>
      <c r="M28" t="s" s="213">
        <v>2</v>
      </c>
      <c r="N28" t="s" s="213">
        <v>2</v>
      </c>
      <c r="O28" s="220">
        <f>($B$28/2)</f>
        <v>1433.25</v>
      </c>
      <c r="P28" t="s" s="213">
        <v>2</v>
      </c>
      <c r="Q28" t="s" s="213">
        <v>2</v>
      </c>
      <c r="R28" s="220">
        <f>SUM(F28:Q28)</f>
        <v>2866.5</v>
      </c>
      <c r="S28" s="221">
        <f>(R28/$R$11)</f>
        <v>0.007000700070007</v>
      </c>
    </row>
    <row r="29" ht="20.35" customHeight="1">
      <c r="A29" t="s" s="24">
        <v>213</v>
      </c>
      <c r="B29" s="27">
        <f>($B$11*$D29)</f>
        <v>2457</v>
      </c>
      <c r="C29" s="15"/>
      <c r="D29" s="215">
        <f>'Industry Averages'!C38</f>
        <v>0.006</v>
      </c>
      <c r="E29" s="15"/>
      <c r="F29" t="s" s="218">
        <v>2</v>
      </c>
      <c r="G29" t="s" s="218">
        <v>2</v>
      </c>
      <c r="H29" t="s" s="218">
        <v>2</v>
      </c>
      <c r="I29" t="s" s="218">
        <v>2</v>
      </c>
      <c r="J29" s="211">
        <f>B29</f>
        <v>2457</v>
      </c>
      <c r="K29" t="s" s="218">
        <v>2</v>
      </c>
      <c r="L29" t="s" s="218">
        <v>2</v>
      </c>
      <c r="M29" t="s" s="218">
        <v>2</v>
      </c>
      <c r="N29" t="s" s="218">
        <v>2</v>
      </c>
      <c r="O29" t="s" s="218">
        <v>2</v>
      </c>
      <c r="P29" t="s" s="218">
        <v>2</v>
      </c>
      <c r="Q29" t="s" s="218">
        <v>2</v>
      </c>
      <c r="R29" s="211">
        <f>SUM(F29:Q29)</f>
        <v>2457</v>
      </c>
      <c r="S29" s="216">
        <f>(R29/$R$11)</f>
        <v>0.006000600060006</v>
      </c>
    </row>
    <row r="30" ht="20.35" customHeight="1">
      <c r="A30" t="s" s="24">
        <v>214</v>
      </c>
      <c r="B30" s="29">
        <f>($B$11*$D30)</f>
        <v>8190</v>
      </c>
      <c r="C30" s="18"/>
      <c r="D30" s="229">
        <f>'Industry Averages'!C40</f>
        <v>0.02</v>
      </c>
      <c r="E30" s="18"/>
      <c r="F30" s="220">
        <f>(F11*$D$30)</f>
        <v>561.8339999999999</v>
      </c>
      <c r="G30" s="220">
        <f>(G11*$D$30)</f>
        <v>565.11</v>
      </c>
      <c r="H30" s="220">
        <f>(H11*$D$30)</f>
        <v>615.069</v>
      </c>
      <c r="I30" s="220">
        <f>(I11*$D$30)</f>
        <v>539.721</v>
      </c>
      <c r="J30" s="220">
        <f>(J11*$D$30)</f>
        <v>741.1950000000001</v>
      </c>
      <c r="K30" s="220">
        <f>(K11*$D$30)</f>
        <v>625.716</v>
      </c>
      <c r="L30" s="220">
        <f>(L11*$D$30)</f>
        <v>659.295</v>
      </c>
      <c r="M30" s="220">
        <f>(M11*$D$30)</f>
        <v>676.494</v>
      </c>
      <c r="N30" s="220">
        <f>(N11*$D$30)</f>
        <v>616.707</v>
      </c>
      <c r="O30" s="220">
        <f>(O11*$D$30)</f>
        <v>628.173</v>
      </c>
      <c r="P30" s="220">
        <f>(P11*$D$30)</f>
        <v>711.711</v>
      </c>
      <c r="Q30" s="220">
        <f>(Q11*$D$30)</f>
        <v>1248.156</v>
      </c>
      <c r="R30" s="220">
        <f>SUM(F30:Q30)</f>
        <v>8189.181</v>
      </c>
      <c r="S30" s="221">
        <f>(R30/$R$11)</f>
        <v>0.02</v>
      </c>
    </row>
    <row r="31" ht="20.35" customHeight="1">
      <c r="A31" t="s" s="24">
        <v>175</v>
      </c>
      <c r="B31" s="27">
        <f>($B$11*$D31)</f>
        <v>1638</v>
      </c>
      <c r="C31" s="15"/>
      <c r="D31" s="215">
        <f>'Industry Averages'!C41</f>
        <v>0.004</v>
      </c>
      <c r="E31" s="15"/>
      <c r="F31" s="211">
        <f>($B$31/2)</f>
        <v>819</v>
      </c>
      <c r="G31" t="s" s="218">
        <v>2</v>
      </c>
      <c r="H31" t="s" s="218">
        <v>2</v>
      </c>
      <c r="I31" t="s" s="218">
        <v>2</v>
      </c>
      <c r="J31" t="s" s="218">
        <v>2</v>
      </c>
      <c r="K31" t="s" s="218">
        <v>2</v>
      </c>
      <c r="L31" s="211">
        <f>($B$31/2)</f>
        <v>819</v>
      </c>
      <c r="M31" t="s" s="218">
        <v>2</v>
      </c>
      <c r="N31" t="s" s="218">
        <v>2</v>
      </c>
      <c r="O31" t="s" s="218">
        <v>2</v>
      </c>
      <c r="P31" t="s" s="218">
        <v>2</v>
      </c>
      <c r="Q31" t="s" s="218">
        <v>2</v>
      </c>
      <c r="R31" s="211">
        <f>SUM(F31:Q31)</f>
        <v>1638</v>
      </c>
      <c r="S31" s="216">
        <f>(R31/$R$11)</f>
        <v>0.004000400040004</v>
      </c>
    </row>
    <row r="32" ht="20.35" customHeight="1">
      <c r="A32" t="s" s="24">
        <v>111</v>
      </c>
      <c r="B32" s="29">
        <f>($B$11*$D32)</f>
        <v>2457</v>
      </c>
      <c r="C32" s="18"/>
      <c r="D32" s="229">
        <f>'Industry Averages'!C42</f>
        <v>0.006</v>
      </c>
      <c r="E32" s="18"/>
      <c r="F32" t="s" s="213">
        <v>2</v>
      </c>
      <c r="G32" t="s" s="213">
        <v>2</v>
      </c>
      <c r="H32" s="220">
        <f>($B$32/3)</f>
        <v>819</v>
      </c>
      <c r="I32" t="s" s="213">
        <v>2</v>
      </c>
      <c r="J32" t="s" s="213">
        <v>2</v>
      </c>
      <c r="K32" s="220">
        <f>($B$32/3)</f>
        <v>819</v>
      </c>
      <c r="L32" t="s" s="213">
        <v>2</v>
      </c>
      <c r="M32" t="s" s="213">
        <v>2</v>
      </c>
      <c r="N32" t="s" s="213">
        <v>2</v>
      </c>
      <c r="O32" t="s" s="213">
        <v>2</v>
      </c>
      <c r="P32" s="220">
        <f>($B$32/3)</f>
        <v>819</v>
      </c>
      <c r="Q32" t="s" s="213">
        <v>2</v>
      </c>
      <c r="R32" s="220">
        <f>SUM(F32:Q32)</f>
        <v>2457</v>
      </c>
      <c r="S32" s="221">
        <f>(R32/$R$11)</f>
        <v>0.006000600060006</v>
      </c>
    </row>
    <row r="33" ht="20.35" customHeight="1">
      <c r="A33" t="s" s="24">
        <v>215</v>
      </c>
      <c r="B33" s="27">
        <f>($B$11*$D33)</f>
        <v>1228.5</v>
      </c>
      <c r="C33" s="15"/>
      <c r="D33" s="215">
        <f>'Industry Averages'!C43</f>
        <v>0.003</v>
      </c>
      <c r="E33" s="15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>
        <f>B33</f>
        <v>1228.5</v>
      </c>
      <c r="R33" s="211">
        <f>SUM(F33:Q33)</f>
        <v>1228.5</v>
      </c>
      <c r="S33" s="216">
        <f>(R33/$R$11)</f>
        <v>0.003000300030003</v>
      </c>
    </row>
    <row r="34" ht="20.35" customHeight="1">
      <c r="A34" t="s" s="24">
        <v>216</v>
      </c>
      <c r="B34" s="29">
        <f>($B$11*$D34)</f>
        <v>1228.5</v>
      </c>
      <c r="C34" s="18"/>
      <c r="D34" s="229">
        <f>'Industry Averages'!C44</f>
        <v>0.003</v>
      </c>
      <c r="E34" s="18"/>
      <c r="F34" s="220">
        <f>($B$34/12)</f>
        <v>102.375</v>
      </c>
      <c r="G34" s="220">
        <f>($B$34/12)</f>
        <v>102.375</v>
      </c>
      <c r="H34" s="220">
        <f>($B$34/12)</f>
        <v>102.375</v>
      </c>
      <c r="I34" s="220">
        <f>($B$34/12)</f>
        <v>102.375</v>
      </c>
      <c r="J34" s="220">
        <f>($B$34/12)</f>
        <v>102.375</v>
      </c>
      <c r="K34" s="220">
        <f>($B$34/12)</f>
        <v>102.375</v>
      </c>
      <c r="L34" s="220">
        <f>($B$34/12)</f>
        <v>102.375</v>
      </c>
      <c r="M34" s="220">
        <f>($B$34/12)</f>
        <v>102.375</v>
      </c>
      <c r="N34" s="220">
        <f>($B$34/12)</f>
        <v>102.375</v>
      </c>
      <c r="O34" s="220">
        <f>($B$34/12)</f>
        <v>102.375</v>
      </c>
      <c r="P34" s="220">
        <f>($B$34/12)</f>
        <v>102.375</v>
      </c>
      <c r="Q34" s="220">
        <f>($B$34/12)</f>
        <v>102.375</v>
      </c>
      <c r="R34" s="220">
        <f>SUM(F34:Q34)</f>
        <v>1228.5</v>
      </c>
      <c r="S34" s="221">
        <f>(R34/$R$11)</f>
        <v>0.003000300030003</v>
      </c>
    </row>
    <row r="35" ht="20.35" customHeight="1">
      <c r="A35" t="s" s="24">
        <v>115</v>
      </c>
      <c r="B35" s="27">
        <f>($B$11*$D35)</f>
        <v>1228.5</v>
      </c>
      <c r="C35" s="15"/>
      <c r="D35" s="215">
        <f>'Industry Averages'!C45</f>
        <v>0.003</v>
      </c>
      <c r="E35" s="15"/>
      <c r="F35" s="211">
        <f>($B$35/12)</f>
        <v>102.375</v>
      </c>
      <c r="G35" s="211">
        <f>($B$35/12)</f>
        <v>102.375</v>
      </c>
      <c r="H35" s="211">
        <f>($B$35/12)</f>
        <v>102.375</v>
      </c>
      <c r="I35" s="211">
        <f>($B$35/12)</f>
        <v>102.375</v>
      </c>
      <c r="J35" s="211">
        <f>($B$35/12)</f>
        <v>102.375</v>
      </c>
      <c r="K35" s="211">
        <f>($B$35/12)</f>
        <v>102.375</v>
      </c>
      <c r="L35" s="211">
        <f>($B$35/12)</f>
        <v>102.375</v>
      </c>
      <c r="M35" s="211">
        <f>($B$35/12)</f>
        <v>102.375</v>
      </c>
      <c r="N35" s="211">
        <f>($B$35/12)</f>
        <v>102.375</v>
      </c>
      <c r="O35" s="211">
        <f>($B$35/12)</f>
        <v>102.375</v>
      </c>
      <c r="P35" s="211">
        <f>($B$35/12)</f>
        <v>102.375</v>
      </c>
      <c r="Q35" s="211">
        <f>($B$35/12)</f>
        <v>102.375</v>
      </c>
      <c r="R35" s="211">
        <f>SUM(F35:Q35)</f>
        <v>1228.5</v>
      </c>
      <c r="S35" s="216">
        <f>(R35/$R$11)</f>
        <v>0.003000300030003</v>
      </c>
    </row>
    <row r="36" ht="20.35" customHeight="1">
      <c r="A36" t="s" s="24">
        <v>217</v>
      </c>
      <c r="B36" s="29">
        <f>($B$11*$D36)</f>
        <v>2457</v>
      </c>
      <c r="C36" s="18"/>
      <c r="D36" s="229">
        <f>'Industry Averages'!C46</f>
        <v>0.006</v>
      </c>
      <c r="E36" s="18"/>
      <c r="F36" s="220">
        <f>($B$36/12)</f>
        <v>204.75</v>
      </c>
      <c r="G36" s="220">
        <f>($B$36/12)</f>
        <v>204.75</v>
      </c>
      <c r="H36" s="220">
        <f>($B$36/12)</f>
        <v>204.75</v>
      </c>
      <c r="I36" s="220">
        <f>($B$36/12)</f>
        <v>204.75</v>
      </c>
      <c r="J36" s="220">
        <f>($B$36/12)</f>
        <v>204.75</v>
      </c>
      <c r="K36" s="220">
        <f>($B$36/12)</f>
        <v>204.75</v>
      </c>
      <c r="L36" s="220">
        <f>($B$36/12)</f>
        <v>204.75</v>
      </c>
      <c r="M36" s="220">
        <f>($B$36/12)</f>
        <v>204.75</v>
      </c>
      <c r="N36" s="220">
        <f>($B$36/12)</f>
        <v>204.75</v>
      </c>
      <c r="O36" s="220">
        <f>($B$36/12)</f>
        <v>204.75</v>
      </c>
      <c r="P36" s="220">
        <f>($B$36/12)</f>
        <v>204.75</v>
      </c>
      <c r="Q36" s="220">
        <f>($B$36/12)</f>
        <v>204.75</v>
      </c>
      <c r="R36" s="220">
        <f>SUM(F36:Q36)</f>
        <v>2457</v>
      </c>
      <c r="S36" s="221">
        <f>(R36/$R$11)</f>
        <v>0.006000600060006</v>
      </c>
    </row>
    <row r="37" ht="20.35" customHeight="1">
      <c r="A37" t="s" s="230">
        <v>2</v>
      </c>
      <c r="B37" s="27"/>
      <c r="C37" s="15"/>
      <c r="D37" s="15"/>
      <c r="E37" s="1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t="s" s="218">
        <v>2</v>
      </c>
      <c r="R37" s="211"/>
      <c r="S37" t="s" s="218">
        <v>2</v>
      </c>
    </row>
    <row r="38" ht="20.35" customHeight="1">
      <c r="A38" t="s" s="24">
        <v>234</v>
      </c>
      <c r="B38" s="29">
        <f>SUM(B18:B36)</f>
        <v>395360</v>
      </c>
      <c r="C38" s="18"/>
      <c r="D38" s="18"/>
      <c r="E38" s="18"/>
      <c r="F38" s="220">
        <f>SUM(F18:F37)</f>
        <v>29293.5919611872</v>
      </c>
      <c r="G38" s="220">
        <f>SUM(G18:G37)</f>
        <v>29362.354303653</v>
      </c>
      <c r="H38" s="220">
        <f>SUM(H18:H37)</f>
        <v>30930.5682111872</v>
      </c>
      <c r="I38" s="220">
        <f>SUM(I18:I37)</f>
        <v>27579.2089920091</v>
      </c>
      <c r="J38" s="220">
        <f>SUM(J18:J37)</f>
        <v>36446.9427111872</v>
      </c>
      <c r="K38" s="220">
        <f>SUM(K18:K37)</f>
        <v>31042.5552420091</v>
      </c>
      <c r="L38" s="220">
        <f>SUM(L18:L37)</f>
        <v>32290.5177111872</v>
      </c>
      <c r="M38" s="220">
        <f>SUM(M18:M37)</f>
        <v>32000.3869611872</v>
      </c>
      <c r="N38" s="220">
        <f>SUM(N18:N37)</f>
        <v>29946.5284920091</v>
      </c>
      <c r="O38" s="220">
        <f>SUM(O18:O37)</f>
        <v>31947.7662111872</v>
      </c>
      <c r="P38" s="220">
        <f>SUM(P18:P37)</f>
        <v>33686.9014920091</v>
      </c>
      <c r="Q38" s="220">
        <f>SUM(Q18:Q37)</f>
        <v>50807.4934611872</v>
      </c>
      <c r="R38" s="220">
        <f>SUM(R18:R37)</f>
        <v>395334.81575</v>
      </c>
      <c r="S38" s="221">
        <f>(R38/$R$11)</f>
        <v>0.965505135983684</v>
      </c>
    </row>
    <row r="39" ht="20.35" customHeight="1">
      <c r="A39" s="17"/>
      <c r="B39" s="27"/>
      <c r="C39" s="15"/>
      <c r="D39" s="15"/>
      <c r="E39" s="1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</row>
    <row r="40" ht="14.35" customHeight="1">
      <c r="A40" t="s" s="36">
        <v>240</v>
      </c>
      <c r="B40" s="212">
        <f>(B15-B38)</f>
        <v>34497.6795</v>
      </c>
      <c r="C40" s="231"/>
      <c r="D40" s="231"/>
      <c r="E40" s="231"/>
      <c r="F40" s="232">
        <f>(F11-F38)</f>
        <v>-1201.8919611872</v>
      </c>
      <c r="G40" s="232">
        <f>(G11-G38)</f>
        <v>-1106.854303653</v>
      </c>
      <c r="H40" s="232">
        <f>(H11-H38)</f>
        <v>-177.1182111872</v>
      </c>
      <c r="I40" s="232">
        <f>(I11-I38)</f>
        <v>-593.1589920091</v>
      </c>
      <c r="J40" s="232">
        <f>(J11-J38)</f>
        <v>612.8072888128</v>
      </c>
      <c r="K40" s="232">
        <f>(K11-K38)</f>
        <v>243.2447579909</v>
      </c>
      <c r="L40" s="232">
        <f>(L11-L38)</f>
        <v>674.2322888128</v>
      </c>
      <c r="M40" s="232">
        <f>(M11-M38)</f>
        <v>1824.3130388128</v>
      </c>
      <c r="N40" s="232">
        <f>(N11-N38)</f>
        <v>888.8215079909</v>
      </c>
      <c r="O40" s="232">
        <f>(O11-O38)</f>
        <v>-539.1162111872</v>
      </c>
      <c r="P40" s="232">
        <f>(P11-P38)</f>
        <v>1898.6485079909</v>
      </c>
      <c r="Q40" s="232">
        <f>(Q11-Q38)</f>
        <v>11600.3065388128</v>
      </c>
      <c r="R40" s="232">
        <f>SUM(F40:Q40)</f>
        <v>14124.2342500002</v>
      </c>
      <c r="S40" s="233">
        <f>R40/R11</f>
        <v>0.0344948640163166</v>
      </c>
    </row>
    <row r="41" ht="20.35" customHeight="1">
      <c r="A41" t="s" s="24">
        <v>219</v>
      </c>
      <c r="B41" s="27"/>
      <c r="C41" s="15"/>
      <c r="D41" s="15"/>
      <c r="E41" s="15"/>
      <c r="F41" s="211">
        <f>'Funding'!B15</f>
        <v>0</v>
      </c>
      <c r="G41" s="211">
        <f>$F$41</f>
        <v>0</v>
      </c>
      <c r="H41" s="211">
        <f>$F$41</f>
        <v>0</v>
      </c>
      <c r="I41" s="211">
        <f>$F$41</f>
        <v>0</v>
      </c>
      <c r="J41" s="211">
        <f>$F$41</f>
        <v>0</v>
      </c>
      <c r="K41" s="211">
        <f>$F$41</f>
        <v>0</v>
      </c>
      <c r="L41" s="211">
        <f>$F$41</f>
        <v>0</v>
      </c>
      <c r="M41" s="211">
        <f>$F$41</f>
        <v>0</v>
      </c>
      <c r="N41" s="211">
        <f>$F$41</f>
        <v>0</v>
      </c>
      <c r="O41" s="211">
        <f>$F$41</f>
        <v>0</v>
      </c>
      <c r="P41" s="211">
        <f>$F$41</f>
        <v>0</v>
      </c>
      <c r="Q41" s="211">
        <f>$F$41</f>
        <v>0</v>
      </c>
      <c r="R41" s="232">
        <f>SUM(F41:Q41)</f>
        <v>0</v>
      </c>
      <c r="S41" s="195"/>
    </row>
    <row r="42" ht="20.35" customHeight="1">
      <c r="A42" t="s" s="80">
        <v>236</v>
      </c>
      <c r="B42" s="29"/>
      <c r="C42" s="18"/>
      <c r="D42" s="18"/>
      <c r="E42" s="18"/>
      <c r="F42" s="234">
        <f>(F40-F41)</f>
        <v>-1201.8919611872</v>
      </c>
      <c r="G42" s="234">
        <f>(G40-G41)</f>
        <v>-1106.854303653</v>
      </c>
      <c r="H42" s="234">
        <f>(H40-H41)</f>
        <v>-177.1182111872</v>
      </c>
      <c r="I42" s="234">
        <f>(I40-I41)</f>
        <v>-593.1589920091</v>
      </c>
      <c r="J42" s="234">
        <f>(J40-J41)</f>
        <v>612.8072888128</v>
      </c>
      <c r="K42" s="234">
        <f>(K40-K41)</f>
        <v>243.2447579909</v>
      </c>
      <c r="L42" s="234">
        <f>(L40-L41)</f>
        <v>674.2322888128</v>
      </c>
      <c r="M42" s="234">
        <f>(M40-M41)</f>
        <v>1824.3130388128</v>
      </c>
      <c r="N42" s="234">
        <f>(N40-N41)</f>
        <v>888.8215079909</v>
      </c>
      <c r="O42" s="234">
        <f>(O40-O41)</f>
        <v>-539.1162111872</v>
      </c>
      <c r="P42" s="234">
        <f>(P40-P41)</f>
        <v>1898.6485079909</v>
      </c>
      <c r="Q42" s="234">
        <f>(Q40-Q41)</f>
        <v>11600.3065388128</v>
      </c>
      <c r="R42" s="232">
        <f>SUM(F42:Q42)</f>
        <v>14124.2342500002</v>
      </c>
      <c r="S42" s="200"/>
    </row>
    <row r="43" ht="20.35" customHeight="1">
      <c r="A43" t="s" s="111">
        <v>237</v>
      </c>
      <c r="B43" s="27"/>
      <c r="C43" s="15"/>
      <c r="D43" s="15"/>
      <c r="E43" s="1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235">
        <f>(B9+442)</f>
        <v>20799.6794999998</v>
      </c>
      <c r="R43" s="195"/>
      <c r="S43" s="195"/>
    </row>
    <row r="44" ht="20.35" customHeight="1">
      <c r="A44" s="17"/>
      <c r="B44" s="29"/>
      <c r="C44" s="18"/>
      <c r="D44" s="18"/>
      <c r="E44" s="18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</row>
    <row r="45" ht="20.35" customHeight="1">
      <c r="A45" t="s" s="24">
        <v>221</v>
      </c>
      <c r="B45" s="27"/>
      <c r="C45" s="15"/>
      <c r="D45" t="s" s="16">
        <v>2</v>
      </c>
      <c r="E45" s="1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</row>
  </sheetData>
  <pageMargins left="0.5" right="0.75" top="0.5" bottom="0.5" header="0.25" footer="0.2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